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5d9f9a2704e93a/EXPERT4YOU/LIVE MEETING PROMO 2026/PLIKI Z WEBINARU/"/>
    </mc:Choice>
  </mc:AlternateContent>
  <xr:revisionPtr revIDLastSave="23" documentId="8_{72CBEA72-48C2-4185-82AE-3A678FA85957}" xr6:coauthVersionLast="47" xr6:coauthVersionMax="47" xr10:uidLastSave="{D2B27291-6967-4C21-88E0-D79FF486EE85}"/>
  <bookViews>
    <workbookView xWindow="-110" yWindow="-110" windowWidth="25820" windowHeight="15500" activeTab="4" xr2:uid="{2EEB73A7-AECC-4BFD-8BD5-E1DDA96F7FD9}"/>
  </bookViews>
  <sheets>
    <sheet name="Kalkulator" sheetId="2" r:id="rId1"/>
    <sheet name="Założenia 2026" sheetId="3" r:id="rId2"/>
    <sheet name="Obliczenia" sheetId="4" state="hidden" r:id="rId3"/>
    <sheet name="Źródła" sheetId="5" r:id="rId4"/>
    <sheet name="PRACOWNIC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4" i="6" l="1"/>
  <c r="T4" i="6" s="1"/>
  <c r="S4" i="6"/>
  <c r="V4" i="6" s="1"/>
  <c r="U4" i="6"/>
  <c r="AC4" i="6"/>
  <c r="R5" i="6"/>
  <c r="S5" i="6"/>
  <c r="T5" i="6"/>
  <c r="U5" i="6"/>
  <c r="X5" i="6"/>
  <c r="R6" i="6"/>
  <c r="W6" i="6" s="1"/>
  <c r="S6" i="6"/>
  <c r="T6" i="6"/>
  <c r="U6" i="6"/>
  <c r="V6" i="6"/>
  <c r="X6" i="6"/>
  <c r="Y6" i="6"/>
  <c r="R7" i="6"/>
  <c r="Y7" i="6"/>
  <c r="R8" i="6"/>
  <c r="AC8" i="6" s="1"/>
  <c r="S8" i="6"/>
  <c r="T8" i="6"/>
  <c r="U8" i="6"/>
  <c r="W8" i="6"/>
  <c r="X8" i="6"/>
  <c r="AA8" i="6"/>
  <c r="R9" i="6"/>
  <c r="Y9" i="6" s="1"/>
  <c r="Z9" i="6" s="1"/>
  <c r="AA9" i="6" s="1"/>
  <c r="S9" i="6"/>
  <c r="V9" i="6" s="1"/>
  <c r="T9" i="6"/>
  <c r="U9" i="6"/>
  <c r="X9" i="6"/>
  <c r="R10" i="6"/>
  <c r="S10" i="6"/>
  <c r="T10" i="6"/>
  <c r="U10" i="6"/>
  <c r="V10" i="6"/>
  <c r="Y10" i="6"/>
  <c r="R11" i="6"/>
  <c r="S11" i="6" s="1"/>
  <c r="T11" i="6"/>
  <c r="U11" i="6"/>
  <c r="Y11" i="6"/>
  <c r="AC11" i="6"/>
  <c r="R12" i="6"/>
  <c r="S12" i="6" s="1"/>
  <c r="AA12" i="6"/>
  <c r="AC12" i="6"/>
  <c r="R13" i="6"/>
  <c r="S13" i="6"/>
  <c r="T13" i="6"/>
  <c r="U13" i="6"/>
  <c r="X13" i="6"/>
  <c r="R14" i="6"/>
  <c r="AC14" i="6" s="1"/>
  <c r="S14" i="6"/>
  <c r="T14" i="6"/>
  <c r="U14" i="6"/>
  <c r="V14" i="6"/>
  <c r="Y14" i="6"/>
  <c r="R15" i="6"/>
  <c r="Y15" i="6"/>
  <c r="R16" i="6"/>
  <c r="T16" i="6" s="1"/>
  <c r="U16" i="6"/>
  <c r="R17" i="6"/>
  <c r="Y17" i="6" s="1"/>
  <c r="Z17" i="6" s="1"/>
  <c r="AA17" i="6" s="1"/>
  <c r="S17" i="6"/>
  <c r="T17" i="6"/>
  <c r="U17" i="6"/>
  <c r="V17" i="6"/>
  <c r="X17" i="6"/>
  <c r="R18" i="6"/>
  <c r="S18" i="6"/>
  <c r="T18" i="6"/>
  <c r="U18" i="6"/>
  <c r="V18" i="6"/>
  <c r="X18" i="6"/>
  <c r="Y18" i="6"/>
  <c r="R19" i="6"/>
  <c r="AC19" i="6" s="1"/>
  <c r="T19" i="6"/>
  <c r="U19" i="6"/>
  <c r="Y19" i="6"/>
  <c r="R20" i="6"/>
  <c r="AC20" i="6" s="1"/>
  <c r="S20" i="6"/>
  <c r="U20" i="6"/>
  <c r="R21" i="6"/>
  <c r="S21" i="6"/>
  <c r="T21" i="6"/>
  <c r="U21" i="6"/>
  <c r="X21" i="6"/>
  <c r="R22" i="6"/>
  <c r="AC22" i="6" s="1"/>
  <c r="S22" i="6"/>
  <c r="T22" i="6"/>
  <c r="U22" i="6"/>
  <c r="V22" i="6"/>
  <c r="Y22" i="6"/>
  <c r="R23" i="6"/>
  <c r="Y23" i="6"/>
  <c r="R24" i="6"/>
  <c r="S24" i="6" s="1"/>
  <c r="U24" i="6"/>
  <c r="AC24" i="6"/>
  <c r="R25" i="6"/>
  <c r="Y25" i="6" s="1"/>
  <c r="Z25" i="6" s="1"/>
  <c r="AA25" i="6" s="1"/>
  <c r="S25" i="6"/>
  <c r="T25" i="6"/>
  <c r="U25" i="6"/>
  <c r="X25" i="6"/>
  <c r="R26" i="6"/>
  <c r="S26" i="6"/>
  <c r="T26" i="6"/>
  <c r="U26" i="6"/>
  <c r="V26" i="6"/>
  <c r="Y26" i="6"/>
  <c r="R27" i="6"/>
  <c r="AC27" i="6" s="1"/>
  <c r="Y27" i="6"/>
  <c r="R28" i="6"/>
  <c r="S28" i="6"/>
  <c r="V28" i="6" s="1"/>
  <c r="T28" i="6"/>
  <c r="U28" i="6"/>
  <c r="W28" i="6"/>
  <c r="X28" i="6"/>
  <c r="AA28" i="6"/>
  <c r="AC28" i="6"/>
  <c r="R29" i="6"/>
  <c r="S29" i="6"/>
  <c r="T29" i="6"/>
  <c r="U29" i="6"/>
  <c r="X29" i="6"/>
  <c r="R30" i="6"/>
  <c r="AC30" i="6" s="1"/>
  <c r="S30" i="6"/>
  <c r="T30" i="6"/>
  <c r="U30" i="6"/>
  <c r="V30" i="6"/>
  <c r="W30" i="6" s="1"/>
  <c r="X30" i="6"/>
  <c r="Y30" i="6"/>
  <c r="R31" i="6"/>
  <c r="Y31" i="6"/>
  <c r="R32" i="6"/>
  <c r="AC32" i="6" s="1"/>
  <c r="S32" i="6"/>
  <c r="T32" i="6"/>
  <c r="U32" i="6"/>
  <c r="R33" i="6"/>
  <c r="Y33" i="6" s="1"/>
  <c r="Z33" i="6" s="1"/>
  <c r="AA33" i="6" s="1"/>
  <c r="S33" i="6"/>
  <c r="T33" i="6"/>
  <c r="U33" i="6"/>
  <c r="V33" i="6"/>
  <c r="W33" i="6"/>
  <c r="X33" i="6"/>
  <c r="R34" i="6"/>
  <c r="S34" i="6"/>
  <c r="T34" i="6"/>
  <c r="U34" i="6"/>
  <c r="V34" i="6"/>
  <c r="Y34" i="6"/>
  <c r="R35" i="6"/>
  <c r="T35" i="6" s="1"/>
  <c r="Y35" i="6"/>
  <c r="R36" i="6"/>
  <c r="U36" i="6" s="1"/>
  <c r="S36" i="6"/>
  <c r="T36" i="6"/>
  <c r="R37" i="6"/>
  <c r="S37" i="6"/>
  <c r="T37" i="6"/>
  <c r="U37" i="6"/>
  <c r="X37" i="6"/>
  <c r="R38" i="6"/>
  <c r="AC38" i="6" s="1"/>
  <c r="S38" i="6"/>
  <c r="T38" i="6"/>
  <c r="U38" i="6"/>
  <c r="V38" i="6"/>
  <c r="W38" i="6" s="1"/>
  <c r="Y38" i="6"/>
  <c r="R39" i="6"/>
  <c r="Y39" i="6"/>
  <c r="AA39" i="6"/>
  <c r="R40" i="6"/>
  <c r="AC40" i="6" s="1"/>
  <c r="S40" i="6"/>
  <c r="T40" i="6"/>
  <c r="U40" i="6"/>
  <c r="R41" i="6"/>
  <c r="Y41" i="6" s="1"/>
  <c r="Z41" i="6" s="1"/>
  <c r="AA41" i="6" s="1"/>
  <c r="S41" i="6"/>
  <c r="T41" i="6"/>
  <c r="U41" i="6"/>
  <c r="V41" i="6"/>
  <c r="W41" i="6"/>
  <c r="X41" i="6"/>
  <c r="AC41" i="6"/>
  <c r="R42" i="6"/>
  <c r="S42" i="6"/>
  <c r="T42" i="6"/>
  <c r="U42" i="6"/>
  <c r="V42" i="6"/>
  <c r="X42" i="6"/>
  <c r="Y42" i="6"/>
  <c r="R43" i="6"/>
  <c r="S43" i="6" s="1"/>
  <c r="V43" i="6" s="1"/>
  <c r="T43" i="6"/>
  <c r="U43" i="6"/>
  <c r="Y43" i="6"/>
  <c r="AC43" i="6"/>
  <c r="R44" i="6"/>
  <c r="U44" i="6"/>
  <c r="R45" i="6"/>
  <c r="W45" i="6" s="1"/>
  <c r="S45" i="6"/>
  <c r="T45" i="6"/>
  <c r="U45" i="6"/>
  <c r="X45" i="6"/>
  <c r="R46" i="6"/>
  <c r="AC46" i="6" s="1"/>
  <c r="S46" i="6"/>
  <c r="T46" i="6"/>
  <c r="U46" i="6"/>
  <c r="V46" i="6"/>
  <c r="Y46" i="6"/>
  <c r="R47" i="6"/>
  <c r="Y47" i="6"/>
  <c r="R48" i="6"/>
  <c r="S48" i="6"/>
  <c r="T48" i="6"/>
  <c r="U48" i="6"/>
  <c r="W48" i="6"/>
  <c r="X48" i="6"/>
  <c r="AA48" i="6"/>
  <c r="R49" i="6"/>
  <c r="W49" i="6" s="1"/>
  <c r="S49" i="6"/>
  <c r="V49" i="6" s="1"/>
  <c r="T49" i="6"/>
  <c r="U49" i="6"/>
  <c r="X49" i="6"/>
  <c r="R50" i="6"/>
  <c r="S50" i="6"/>
  <c r="T50" i="6"/>
  <c r="U50" i="6"/>
  <c r="V50" i="6"/>
  <c r="Y50" i="6"/>
  <c r="R51" i="6"/>
  <c r="AC51" i="6" s="1"/>
  <c r="S51" i="6"/>
  <c r="T51" i="6"/>
  <c r="U51" i="6"/>
  <c r="Y51" i="6"/>
  <c r="R52" i="6"/>
  <c r="U52" i="6"/>
  <c r="AA3" i="6"/>
  <c r="Y3" i="6"/>
  <c r="R3" i="6"/>
  <c r="P73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B23" i="4"/>
  <c r="E18" i="2" s="1"/>
  <c r="P36" i="4"/>
  <c r="C36" i="4"/>
  <c r="B36" i="4"/>
  <c r="Z43" i="6" l="1"/>
  <c r="AA43" i="6" s="1"/>
  <c r="AB43" i="6" s="1"/>
  <c r="AD43" i="6" s="1"/>
  <c r="W43" i="6"/>
  <c r="X43" i="6" s="1"/>
  <c r="S3" i="6"/>
  <c r="Y28" i="6"/>
  <c r="V36" i="6"/>
  <c r="Y36" i="6" s="1"/>
  <c r="Z36" i="6" s="1"/>
  <c r="AA36" i="6" s="1"/>
  <c r="AB36" i="6" s="1"/>
  <c r="AD36" i="6" s="1"/>
  <c r="T3" i="6"/>
  <c r="V25" i="6"/>
  <c r="Y4" i="6"/>
  <c r="U3" i="6"/>
  <c r="AC49" i="6"/>
  <c r="V11" i="6"/>
  <c r="Z11" i="6" s="1"/>
  <c r="AA11" i="6" s="1"/>
  <c r="W9" i="6"/>
  <c r="AC6" i="6"/>
  <c r="W4" i="6"/>
  <c r="X4" i="6" s="1"/>
  <c r="U27" i="6"/>
  <c r="AC3" i="6"/>
  <c r="S35" i="6"/>
  <c r="AC33" i="6"/>
  <c r="T27" i="6"/>
  <c r="S19" i="6"/>
  <c r="V19" i="6" s="1"/>
  <c r="Z19" i="6" s="1"/>
  <c r="AA19" i="6" s="1"/>
  <c r="Z18" i="6"/>
  <c r="AA18" i="6" s="1"/>
  <c r="AB18" i="6" s="1"/>
  <c r="S16" i="6"/>
  <c r="V40" i="6"/>
  <c r="V48" i="6"/>
  <c r="AB48" i="6" s="1"/>
  <c r="S27" i="6"/>
  <c r="T20" i="6"/>
  <c r="V20" i="6" s="1"/>
  <c r="AC35" i="6"/>
  <c r="AC25" i="6"/>
  <c r="T24" i="6"/>
  <c r="V24" i="6" s="1"/>
  <c r="AC16" i="6"/>
  <c r="U12" i="6"/>
  <c r="V8" i="6"/>
  <c r="AB8" i="6" s="1"/>
  <c r="AB41" i="6"/>
  <c r="AD41" i="6" s="1"/>
  <c r="V51" i="6"/>
  <c r="Y49" i="6"/>
  <c r="Z49" i="6" s="1"/>
  <c r="AA49" i="6" s="1"/>
  <c r="AB49" i="6" s="1"/>
  <c r="AD49" i="6" s="1"/>
  <c r="AC45" i="6"/>
  <c r="AC36" i="6"/>
  <c r="Y45" i="6"/>
  <c r="Z45" i="6" s="1"/>
  <c r="AA45" i="6" s="1"/>
  <c r="W22" i="6"/>
  <c r="X22" i="6" s="1"/>
  <c r="W36" i="6"/>
  <c r="X36" i="6" s="1"/>
  <c r="W25" i="6"/>
  <c r="AC17" i="6"/>
  <c r="W46" i="6"/>
  <c r="Z46" i="6" s="1"/>
  <c r="U35" i="6"/>
  <c r="V35" i="6" s="1"/>
  <c r="W14" i="6"/>
  <c r="Z14" i="6" s="1"/>
  <c r="AA14" i="6" s="1"/>
  <c r="T12" i="6"/>
  <c r="AC9" i="6"/>
  <c r="AD8" i="6"/>
  <c r="Y8" i="6"/>
  <c r="Z28" i="6"/>
  <c r="W17" i="6"/>
  <c r="X38" i="6"/>
  <c r="Z38" i="6"/>
  <c r="AA38" i="6" s="1"/>
  <c r="AB38" i="6" s="1"/>
  <c r="AD38" i="6" s="1"/>
  <c r="Z51" i="6"/>
  <c r="AA51" i="6" s="1"/>
  <c r="W51" i="6"/>
  <c r="X51" i="6" s="1"/>
  <c r="V37" i="6"/>
  <c r="S23" i="6"/>
  <c r="T23" i="6"/>
  <c r="U23" i="6"/>
  <c r="AC23" i="6"/>
  <c r="S15" i="6"/>
  <c r="T15" i="6"/>
  <c r="U15" i="6"/>
  <c r="AC15" i="6"/>
  <c r="Z6" i="6"/>
  <c r="AA6" i="6" s="1"/>
  <c r="AB6" i="6" s="1"/>
  <c r="AC21" i="6"/>
  <c r="W21" i="6"/>
  <c r="Y21" i="6"/>
  <c r="AB17" i="6"/>
  <c r="AD17" i="6" s="1"/>
  <c r="AC13" i="6"/>
  <c r="Y13" i="6"/>
  <c r="Z13" i="6" s="1"/>
  <c r="AA13" i="6" s="1"/>
  <c r="W13" i="6"/>
  <c r="AB9" i="6"/>
  <c r="V45" i="6"/>
  <c r="V32" i="6"/>
  <c r="W32" i="6" s="1"/>
  <c r="X32" i="6" s="1"/>
  <c r="S7" i="6"/>
  <c r="T7" i="6"/>
  <c r="U7" i="6"/>
  <c r="AC7" i="6"/>
  <c r="S44" i="6"/>
  <c r="AC44" i="6"/>
  <c r="T44" i="6"/>
  <c r="W40" i="6"/>
  <c r="X40" i="6" s="1"/>
  <c r="AC34" i="6"/>
  <c r="W34" i="6"/>
  <c r="W19" i="6"/>
  <c r="X19" i="6" s="1"/>
  <c r="AB19" i="6" s="1"/>
  <c r="AD19" i="6" s="1"/>
  <c r="V16" i="6"/>
  <c r="Y16" i="6" s="1"/>
  <c r="V5" i="6"/>
  <c r="S31" i="6"/>
  <c r="T31" i="6"/>
  <c r="U31" i="6"/>
  <c r="AC31" i="6"/>
  <c r="S39" i="6"/>
  <c r="T39" i="6"/>
  <c r="AC39" i="6"/>
  <c r="U39" i="6"/>
  <c r="AB33" i="6"/>
  <c r="AD33" i="6" s="1"/>
  <c r="V29" i="6"/>
  <c r="V21" i="6"/>
  <c r="V13" i="6"/>
  <c r="AC29" i="6"/>
  <c r="Y29" i="6"/>
  <c r="Z29" i="6" s="1"/>
  <c r="AA29" i="6" s="1"/>
  <c r="AB29" i="6" s="1"/>
  <c r="W29" i="6"/>
  <c r="AB25" i="6"/>
  <c r="Z4" i="6"/>
  <c r="AA4" i="6" s="1"/>
  <c r="AB4" i="6" s="1"/>
  <c r="AD4" i="6" s="1"/>
  <c r="S52" i="6"/>
  <c r="AC52" i="6"/>
  <c r="T52" i="6"/>
  <c r="AC26" i="6"/>
  <c r="W26" i="6"/>
  <c r="Z21" i="6"/>
  <c r="AA21" i="6" s="1"/>
  <c r="AC18" i="6"/>
  <c r="W18" i="6"/>
  <c r="W11" i="6"/>
  <c r="X11" i="6" s="1"/>
  <c r="AB11" i="6" s="1"/>
  <c r="AD11" i="6" s="1"/>
  <c r="AC10" i="6"/>
  <c r="W10" i="6"/>
  <c r="AC5" i="6"/>
  <c r="Y5" i="6"/>
  <c r="Z5" i="6" s="1"/>
  <c r="AA5" i="6" s="1"/>
  <c r="W5" i="6"/>
  <c r="T47" i="6"/>
  <c r="AC47" i="6"/>
  <c r="U47" i="6"/>
  <c r="Y48" i="6"/>
  <c r="Z48" i="6" s="1"/>
  <c r="AC42" i="6"/>
  <c r="W42" i="6"/>
  <c r="AC50" i="6"/>
  <c r="W50" i="6"/>
  <c r="Z42" i="6"/>
  <c r="AA42" i="6" s="1"/>
  <c r="AB42" i="6" s="1"/>
  <c r="AC37" i="6"/>
  <c r="Y37" i="6"/>
  <c r="Z37" i="6" s="1"/>
  <c r="AA37" i="6" s="1"/>
  <c r="AB37" i="6" s="1"/>
  <c r="W37" i="6"/>
  <c r="AC48" i="6"/>
  <c r="AD48" i="6" s="1"/>
  <c r="S47" i="6"/>
  <c r="Z30" i="6"/>
  <c r="AA30" i="6" s="1"/>
  <c r="AB30" i="6" s="1"/>
  <c r="AD30" i="6" s="1"/>
  <c r="AB28" i="6"/>
  <c r="AD28" i="6" s="1"/>
  <c r="Y40" i="6"/>
  <c r="Z40" i="6" s="1"/>
  <c r="AA40" i="6" s="1"/>
  <c r="AB40" i="6" s="1"/>
  <c r="AD40" i="6" s="1"/>
  <c r="D36" i="4"/>
  <c r="K36" i="4"/>
  <c r="B24" i="4"/>
  <c r="E19" i="2" s="1"/>
  <c r="Y20" i="6" l="1"/>
  <c r="Z20" i="6" s="1"/>
  <c r="AA20" i="6" s="1"/>
  <c r="W20" i="6"/>
  <c r="X20" i="6" s="1"/>
  <c r="Z22" i="6"/>
  <c r="AA22" i="6" s="1"/>
  <c r="AB22" i="6" s="1"/>
  <c r="AD22" i="6" s="1"/>
  <c r="V12" i="6"/>
  <c r="V3" i="6"/>
  <c r="V27" i="6"/>
  <c r="AD9" i="6"/>
  <c r="AD6" i="6"/>
  <c r="V15" i="6"/>
  <c r="W15" i="6" s="1"/>
  <c r="X15" i="6" s="1"/>
  <c r="Z8" i="6"/>
  <c r="AD25" i="6"/>
  <c r="AB5" i="6"/>
  <c r="AB51" i="6"/>
  <c r="AD51" i="6" s="1"/>
  <c r="Z35" i="6"/>
  <c r="AA35" i="6" s="1"/>
  <c r="W35" i="6"/>
  <c r="X35" i="6" s="1"/>
  <c r="AB35" i="6"/>
  <c r="AD35" i="6" s="1"/>
  <c r="Y12" i="6"/>
  <c r="Z12" i="6" s="1"/>
  <c r="W12" i="6"/>
  <c r="X12" i="6" s="1"/>
  <c r="AB12" i="6" s="1"/>
  <c r="AD12" i="6" s="1"/>
  <c r="AB45" i="6"/>
  <c r="AD45" i="6" s="1"/>
  <c r="X14" i="6"/>
  <c r="AB14" i="6" s="1"/>
  <c r="AD14" i="6" s="1"/>
  <c r="W16" i="6"/>
  <c r="X16" i="6" s="1"/>
  <c r="AB13" i="6"/>
  <c r="AD13" i="6" s="1"/>
  <c r="AD18" i="6"/>
  <c r="AB21" i="6"/>
  <c r="AD21" i="6" s="1"/>
  <c r="Z15" i="6"/>
  <c r="AA15" i="6" s="1"/>
  <c r="AB15" i="6" s="1"/>
  <c r="AD15" i="6" s="1"/>
  <c r="X46" i="6"/>
  <c r="AA46" i="6" s="1"/>
  <c r="AD5" i="6"/>
  <c r="X34" i="6"/>
  <c r="Z34" i="6"/>
  <c r="AA34" i="6" s="1"/>
  <c r="V44" i="6"/>
  <c r="X50" i="6"/>
  <c r="Z50" i="6"/>
  <c r="AA50" i="6" s="1"/>
  <c r="AD29" i="6"/>
  <c r="V31" i="6"/>
  <c r="V23" i="6"/>
  <c r="V7" i="6"/>
  <c r="W24" i="6"/>
  <c r="X24" i="6" s="1"/>
  <c r="X26" i="6"/>
  <c r="Z26" i="6"/>
  <c r="AA26" i="6" s="1"/>
  <c r="V47" i="6"/>
  <c r="V52" i="6"/>
  <c r="AD37" i="6"/>
  <c r="X10" i="6"/>
  <c r="Z10" i="6"/>
  <c r="Y24" i="6"/>
  <c r="Z24" i="6" s="1"/>
  <c r="AA24" i="6" s="1"/>
  <c r="AD42" i="6"/>
  <c r="V39" i="6"/>
  <c r="Y32" i="6"/>
  <c r="Z32" i="6" s="1"/>
  <c r="AA32" i="6" s="1"/>
  <c r="AB32" i="6" s="1"/>
  <c r="AD32" i="6" s="1"/>
  <c r="Z16" i="6"/>
  <c r="AA16" i="6" s="1"/>
  <c r="H36" i="4"/>
  <c r="Q36" i="4"/>
  <c r="R36" i="4"/>
  <c r="S36" i="4" s="1"/>
  <c r="L36" i="4"/>
  <c r="G36" i="4"/>
  <c r="F36" i="4"/>
  <c r="AB46" i="6" l="1"/>
  <c r="AD46" i="6" s="1"/>
  <c r="Z27" i="6"/>
  <c r="AA27" i="6" s="1"/>
  <c r="W27" i="6"/>
  <c r="X27" i="6" s="1"/>
  <c r="AB27" i="6" s="1"/>
  <c r="AD27" i="6" s="1"/>
  <c r="W3" i="6"/>
  <c r="X3" i="6" s="1"/>
  <c r="AB3" i="6" s="1"/>
  <c r="AD3" i="6" s="1"/>
  <c r="Z3" i="6"/>
  <c r="AB50" i="6"/>
  <c r="AD50" i="6" s="1"/>
  <c r="AA10" i="6"/>
  <c r="AB20" i="6"/>
  <c r="AD20" i="6" s="1"/>
  <c r="AB16" i="6"/>
  <c r="AD16" i="6" s="1"/>
  <c r="AB24" i="6"/>
  <c r="AD24" i="6" s="1"/>
  <c r="AB26" i="6"/>
  <c r="AD26" i="6" s="1"/>
  <c r="Y44" i="6"/>
  <c r="Z44" i="6" s="1"/>
  <c r="AA44" i="6" s="1"/>
  <c r="W44" i="6"/>
  <c r="X44" i="6" s="1"/>
  <c r="Z23" i="6"/>
  <c r="AA23" i="6" s="1"/>
  <c r="W23" i="6"/>
  <c r="X23" i="6" s="1"/>
  <c r="Z7" i="6"/>
  <c r="AA7" i="6" s="1"/>
  <c r="W7" i="6"/>
  <c r="X7" i="6" s="1"/>
  <c r="AB34" i="6"/>
  <c r="AD34" i="6" s="1"/>
  <c r="Z47" i="6"/>
  <c r="AA47" i="6" s="1"/>
  <c r="W47" i="6"/>
  <c r="X47" i="6" s="1"/>
  <c r="AB47" i="6" s="1"/>
  <c r="AD47" i="6" s="1"/>
  <c r="W52" i="6"/>
  <c r="X52" i="6" s="1"/>
  <c r="Y52" i="6"/>
  <c r="Z52" i="6" s="1"/>
  <c r="AA52" i="6" s="1"/>
  <c r="AB52" i="6" s="1"/>
  <c r="AD52" i="6" s="1"/>
  <c r="AB10" i="6"/>
  <c r="AD10" i="6" s="1"/>
  <c r="W31" i="6"/>
  <c r="X31" i="6" s="1"/>
  <c r="Z31" i="6"/>
  <c r="AA31" i="6" s="1"/>
  <c r="Z39" i="6"/>
  <c r="W39" i="6"/>
  <c r="X39" i="6" s="1"/>
  <c r="AB39" i="6" s="1"/>
  <c r="AD39" i="6" s="1"/>
  <c r="I36" i="4"/>
  <c r="AB44" i="6" l="1"/>
  <c r="AD44" i="6" s="1"/>
  <c r="AB23" i="6"/>
  <c r="AD23" i="6" s="1"/>
  <c r="AB31" i="6"/>
  <c r="AD31" i="6" s="1"/>
  <c r="AB7" i="6"/>
  <c r="AD7" i="6" s="1"/>
  <c r="J36" i="4"/>
  <c r="M36" i="4"/>
  <c r="N36" i="4" s="1"/>
  <c r="O36" i="4" s="1"/>
  <c r="E36" i="4" s="1"/>
  <c r="C37" i="4" s="1"/>
  <c r="B37" i="4" l="1"/>
  <c r="D37" i="4" s="1"/>
  <c r="K37" i="4" s="1"/>
  <c r="G37" i="4" l="1"/>
  <c r="Q37" i="4"/>
  <c r="R37" i="4"/>
  <c r="S37" i="4" s="1"/>
  <c r="H37" i="4"/>
  <c r="L37" i="4"/>
  <c r="F37" i="4"/>
  <c r="I37" i="4" l="1"/>
  <c r="M37" i="4" s="1"/>
  <c r="N37" i="4" s="1"/>
  <c r="O37" i="4" s="1"/>
  <c r="J37" i="4"/>
  <c r="E37" i="4" l="1"/>
  <c r="B38" i="4" l="1"/>
  <c r="C38" i="4"/>
  <c r="D38" i="4" l="1"/>
  <c r="Q38" i="4" s="1"/>
  <c r="H38" i="4" l="1"/>
  <c r="F38" i="4"/>
  <c r="G38" i="4"/>
  <c r="L38" i="4"/>
  <c r="R38" i="4"/>
  <c r="S38" i="4" s="1"/>
  <c r="K38" i="4"/>
  <c r="I38" i="4" l="1"/>
  <c r="M38" i="4" s="1"/>
  <c r="N38" i="4" s="1"/>
  <c r="O38" i="4" s="1"/>
  <c r="J38" i="4" l="1"/>
  <c r="E38" i="4" s="1"/>
  <c r="C39" i="4" l="1"/>
  <c r="B39" i="4"/>
  <c r="D39" i="4" l="1"/>
  <c r="Q39" i="4" s="1"/>
  <c r="F39" i="4" l="1"/>
  <c r="K39" i="4"/>
  <c r="R39" i="4"/>
  <c r="S39" i="4" s="1"/>
  <c r="L39" i="4"/>
  <c r="H39" i="4"/>
  <c r="G39" i="4"/>
  <c r="I39" i="4" l="1"/>
  <c r="M39" i="4" s="1"/>
  <c r="J39" i="4" l="1"/>
  <c r="N39" i="4"/>
  <c r="O39" i="4" s="1"/>
  <c r="E39" i="4" l="1"/>
  <c r="C40" i="4" s="1"/>
  <c r="B40" i="4" l="1"/>
  <c r="D40" i="4" s="1"/>
  <c r="Q40" i="4" s="1"/>
  <c r="L40" i="4" l="1"/>
  <c r="H40" i="4"/>
  <c r="R40" i="4"/>
  <c r="S40" i="4" s="1"/>
  <c r="K40" i="4"/>
  <c r="F40" i="4"/>
  <c r="G40" i="4"/>
  <c r="I40" i="4" l="1"/>
  <c r="M40" i="4" s="1"/>
  <c r="J40" i="4" l="1"/>
  <c r="N40" i="4"/>
  <c r="O40" i="4" s="1"/>
  <c r="E40" i="4" l="1"/>
  <c r="C41" i="4" s="1"/>
  <c r="B41" i="4" l="1"/>
  <c r="D41" i="4" s="1"/>
  <c r="Q41" i="4" s="1"/>
  <c r="K41" i="4" l="1"/>
  <c r="R41" i="4"/>
  <c r="S41" i="4" s="1"/>
  <c r="L41" i="4"/>
  <c r="F41" i="4"/>
  <c r="H41" i="4"/>
  <c r="G41" i="4"/>
  <c r="I41" i="4" l="1"/>
  <c r="M41" i="4" s="1"/>
  <c r="N41" i="4" l="1"/>
  <c r="O41" i="4" s="1"/>
  <c r="J41" i="4"/>
  <c r="E41" i="4" l="1"/>
  <c r="C42" i="4" s="1"/>
  <c r="B42" i="4" l="1"/>
  <c r="D42" i="4" s="1"/>
  <c r="G42" i="4" s="1"/>
  <c r="F42" i="4"/>
  <c r="H42" i="4"/>
  <c r="L42" i="4"/>
  <c r="K42" i="4" l="1"/>
  <c r="R42" i="4"/>
  <c r="Q42" i="4"/>
  <c r="I42" i="4"/>
  <c r="M42" i="4" s="1"/>
  <c r="S42" i="4" l="1"/>
  <c r="N42" i="4"/>
  <c r="O42" i="4" s="1"/>
  <c r="J42" i="4"/>
  <c r="E42" i="4" l="1"/>
  <c r="B43" i="4" l="1"/>
  <c r="C43" i="4"/>
  <c r="D43" i="4" l="1"/>
  <c r="Q43" i="4" s="1"/>
  <c r="F43" i="4"/>
  <c r="L43" i="4"/>
  <c r="H43" i="4" l="1"/>
  <c r="K43" i="4"/>
  <c r="G43" i="4"/>
  <c r="R43" i="4"/>
  <c r="S43" i="4" s="1"/>
  <c r="I43" i="4" l="1"/>
  <c r="M43" i="4" s="1"/>
  <c r="J43" i="4"/>
  <c r="N43" i="4"/>
  <c r="O43" i="4" s="1"/>
  <c r="E43" i="4" l="1"/>
  <c r="C44" i="4" s="1"/>
  <c r="B44" i="4" l="1"/>
  <c r="D44" i="4" s="1"/>
  <c r="Q44" i="4" s="1"/>
  <c r="L44" i="4" l="1"/>
  <c r="H44" i="4"/>
  <c r="G44" i="4"/>
  <c r="F44" i="4"/>
  <c r="R44" i="4"/>
  <c r="S44" i="4" s="1"/>
  <c r="K44" i="4"/>
  <c r="I44" i="4" l="1"/>
  <c r="M44" i="4" s="1"/>
  <c r="N44" i="4" l="1"/>
  <c r="O44" i="4" s="1"/>
  <c r="J44" i="4"/>
  <c r="E44" i="4" l="1"/>
  <c r="B45" i="4" s="1"/>
  <c r="C45" i="4" l="1"/>
  <c r="D45" i="4"/>
  <c r="Q45" i="4" s="1"/>
  <c r="F45" i="4"/>
  <c r="G45" i="4"/>
  <c r="H45" i="4"/>
  <c r="R45" i="4"/>
  <c r="S45" i="4" s="1"/>
  <c r="L45" i="4"/>
  <c r="K45" i="4" l="1"/>
  <c r="I45" i="4"/>
  <c r="M45" i="4" s="1"/>
  <c r="N45" i="4" l="1"/>
  <c r="O45" i="4" s="1"/>
  <c r="J45" i="4"/>
  <c r="E45" i="4" l="1"/>
  <c r="B46" i="4" s="1"/>
  <c r="C46" i="4" l="1"/>
  <c r="D46" i="4" s="1"/>
  <c r="Q46" i="4" s="1"/>
  <c r="H46" i="4" l="1"/>
  <c r="R46" i="4"/>
  <c r="S46" i="4" s="1"/>
  <c r="K46" i="4"/>
  <c r="G46" i="4"/>
  <c r="L46" i="4"/>
  <c r="F46" i="4"/>
  <c r="I46" i="4" l="1"/>
  <c r="M46" i="4" s="1"/>
  <c r="N46" i="4" l="1"/>
  <c r="O46" i="4" s="1"/>
  <c r="J46" i="4"/>
  <c r="E46" i="4" l="1"/>
  <c r="C47" i="4" l="1"/>
  <c r="B47" i="4"/>
  <c r="D47" i="4" l="1"/>
  <c r="Q47" i="4" s="1"/>
  <c r="H47" i="4"/>
  <c r="G47" i="4"/>
  <c r="R47" i="4"/>
  <c r="S47" i="4" s="1"/>
  <c r="F47" i="4"/>
  <c r="K47" i="4"/>
  <c r="L47" i="4" l="1"/>
  <c r="I47" i="4"/>
  <c r="M47" i="4" s="1"/>
  <c r="N47" i="4" l="1"/>
  <c r="O47" i="4" s="1"/>
  <c r="J47" i="4"/>
  <c r="E47" i="4" l="1"/>
  <c r="B48" i="4" s="1"/>
  <c r="C48" i="4" l="1"/>
  <c r="D48" i="4" s="1"/>
  <c r="Q48" i="4" s="1"/>
  <c r="H48" i="4" l="1"/>
  <c r="G48" i="4"/>
  <c r="F48" i="4"/>
  <c r="L48" i="4"/>
  <c r="K48" i="4"/>
  <c r="R48" i="4"/>
  <c r="S48" i="4" s="1"/>
  <c r="I48" i="4" l="1"/>
  <c r="M48" i="4" s="1"/>
  <c r="N48" i="4" l="1"/>
  <c r="O48" i="4" s="1"/>
  <c r="J48" i="4"/>
  <c r="E48" i="4" l="1"/>
  <c r="B49" i="4" s="1"/>
  <c r="C49" i="4" l="1"/>
  <c r="D49" i="4" s="1"/>
  <c r="Q49" i="4" s="1"/>
  <c r="G49" i="4" l="1"/>
  <c r="R49" i="4"/>
  <c r="S49" i="4" s="1"/>
  <c r="L49" i="4"/>
  <c r="K49" i="4"/>
  <c r="F49" i="4"/>
  <c r="H49" i="4"/>
  <c r="I49" i="4" l="1"/>
  <c r="M49" i="4" s="1"/>
  <c r="N49" i="4"/>
  <c r="O49" i="4" s="1"/>
  <c r="J49" i="4" l="1"/>
  <c r="E49" i="4" s="1"/>
  <c r="C50" i="4" l="1"/>
  <c r="B50" i="4"/>
  <c r="D50" i="4" l="1"/>
  <c r="K50" i="4"/>
  <c r="F50" i="4"/>
  <c r="G50" i="4"/>
  <c r="H50" i="4"/>
  <c r="Q50" i="4" l="1"/>
  <c r="L50" i="4"/>
  <c r="R50" i="4"/>
  <c r="S50" i="4" s="1"/>
  <c r="I50" i="4"/>
  <c r="M50" i="4" s="1"/>
  <c r="N50" i="4" l="1"/>
  <c r="O50" i="4" s="1"/>
  <c r="J50" i="4"/>
  <c r="E50" i="4" l="1"/>
  <c r="C51" i="4" s="1"/>
  <c r="B51" i="4" l="1"/>
  <c r="D51" i="4" s="1"/>
  <c r="Q51" i="4" s="1"/>
  <c r="L51" i="4"/>
  <c r="G51" i="4"/>
  <c r="R51" i="4"/>
  <c r="S51" i="4" s="1"/>
  <c r="H51" i="4" l="1"/>
  <c r="F51" i="4"/>
  <c r="K51" i="4"/>
  <c r="I51" i="4"/>
  <c r="M51" i="4" s="1"/>
  <c r="N51" i="4" s="1"/>
  <c r="O51" i="4" s="1"/>
  <c r="J51" i="4" l="1"/>
  <c r="E51" i="4" s="1"/>
  <c r="C52" i="4" l="1"/>
  <c r="B52" i="4"/>
  <c r="D52" i="4" l="1"/>
  <c r="L52" i="4" l="1"/>
  <c r="F52" i="4"/>
  <c r="G52" i="4"/>
  <c r="H52" i="4"/>
  <c r="K52" i="4"/>
  <c r="R52" i="4"/>
  <c r="Q52" i="4"/>
  <c r="I52" i="4" l="1"/>
  <c r="S52" i="4"/>
  <c r="M52" i="4" l="1"/>
  <c r="N52" i="4" s="1"/>
  <c r="O52" i="4" s="1"/>
  <c r="J52" i="4"/>
  <c r="E52" i="4" l="1"/>
  <c r="Q53" i="4"/>
  <c r="C53" i="4" l="1"/>
  <c r="B53" i="4"/>
  <c r="D53" i="4" s="1"/>
  <c r="K53" i="4" l="1"/>
  <c r="L53" i="4"/>
  <c r="R53" i="4"/>
  <c r="S53" i="4" s="1"/>
  <c r="H53" i="4"/>
  <c r="F53" i="4"/>
  <c r="G53" i="4"/>
  <c r="I53" i="4" l="1"/>
  <c r="M53" i="4" l="1"/>
  <c r="N53" i="4" s="1"/>
  <c r="O53" i="4" s="1"/>
  <c r="J53" i="4"/>
  <c r="E53" i="4" l="1"/>
  <c r="B54" i="4" s="1"/>
  <c r="Q54" i="4"/>
  <c r="C54" i="4" l="1"/>
  <c r="D54" i="4" s="1"/>
  <c r="S54" i="4"/>
  <c r="K54" i="4" l="1"/>
  <c r="F54" i="4"/>
  <c r="H54" i="4"/>
  <c r="G54" i="4"/>
  <c r="L54" i="4"/>
  <c r="R54" i="4"/>
  <c r="I54" i="4" l="1"/>
  <c r="M54" i="4" l="1"/>
  <c r="N54" i="4" s="1"/>
  <c r="O54" i="4" s="1"/>
  <c r="J54" i="4"/>
  <c r="E54" i="4" l="1"/>
  <c r="B55" i="4"/>
  <c r="C55" i="4"/>
  <c r="D55" i="4" l="1"/>
  <c r="M55" i="4"/>
  <c r="Q55" i="4" l="1"/>
  <c r="F55" i="4"/>
  <c r="G55" i="4"/>
  <c r="H55" i="4"/>
  <c r="L55" i="4"/>
  <c r="R55" i="4"/>
  <c r="S55" i="4" s="1"/>
  <c r="K55" i="4"/>
  <c r="I55" i="4" l="1"/>
  <c r="J55" i="4" l="1"/>
  <c r="N55" i="4"/>
  <c r="O55" i="4" s="1"/>
  <c r="E55" i="4" l="1"/>
  <c r="C56" i="4" s="1"/>
  <c r="B56" i="4" l="1"/>
  <c r="D56" i="4" s="1"/>
  <c r="F56" i="4" s="1"/>
  <c r="Q56" i="4"/>
  <c r="K56" i="4"/>
  <c r="L56" i="4"/>
  <c r="G56" i="4"/>
  <c r="H56" i="4"/>
  <c r="R56" i="4"/>
  <c r="S56" i="4" s="1"/>
  <c r="I56" i="4" l="1"/>
  <c r="M56" i="4" l="1"/>
  <c r="N56" i="4" s="1"/>
  <c r="O56" i="4" s="1"/>
  <c r="J56" i="4"/>
  <c r="E56" i="4" l="1"/>
  <c r="B57" i="4" s="1"/>
  <c r="C57" i="4" l="1"/>
  <c r="D57" i="4" s="1"/>
  <c r="Q57" i="4"/>
  <c r="H57" i="4"/>
  <c r="F57" i="4"/>
  <c r="R57" i="4"/>
  <c r="S57" i="4" s="1"/>
  <c r="L57" i="4"/>
  <c r="K57" i="4"/>
  <c r="G57" i="4"/>
  <c r="I57" i="4" l="1"/>
  <c r="M57" i="4" l="1"/>
  <c r="N57" i="4"/>
  <c r="O57" i="4" s="1"/>
  <c r="J57" i="4"/>
  <c r="E57" i="4" l="1"/>
  <c r="C58" i="4" s="1"/>
  <c r="B58" i="4" l="1"/>
  <c r="D58" i="4" s="1"/>
  <c r="F58" i="4" s="1"/>
  <c r="Q58" i="4"/>
  <c r="L58" i="4"/>
  <c r="R58" i="4" l="1"/>
  <c r="S58" i="4" s="1"/>
  <c r="H58" i="4"/>
  <c r="K58" i="4"/>
  <c r="G58" i="4"/>
  <c r="I58" i="4" l="1"/>
  <c r="M58" i="4"/>
  <c r="N58" i="4" l="1"/>
  <c r="O58" i="4" s="1"/>
  <c r="J58" i="4"/>
  <c r="E58" i="4" s="1"/>
  <c r="C59" i="4" l="1"/>
  <c r="B59" i="4"/>
  <c r="D59" i="4" s="1"/>
  <c r="Q59" i="4" l="1"/>
  <c r="L59" i="4"/>
  <c r="K59" i="4"/>
  <c r="R59" i="4"/>
  <c r="S59" i="4" s="1"/>
  <c r="H59" i="4"/>
  <c r="F59" i="4"/>
  <c r="G59" i="4"/>
  <c r="M59" i="4"/>
  <c r="I59" i="4" l="1"/>
  <c r="J59" i="4" s="1"/>
  <c r="N59" i="4"/>
  <c r="O59" i="4" s="1"/>
  <c r="E59" i="4" s="1"/>
  <c r="C60" i="4" s="1"/>
  <c r="B60" i="4" l="1"/>
  <c r="D60" i="4" s="1"/>
  <c r="Q60" i="4" s="1"/>
  <c r="G60" i="4"/>
  <c r="F60" i="4"/>
  <c r="R60" i="4"/>
  <c r="S60" i="4" s="1"/>
  <c r="K60" i="4"/>
  <c r="L60" i="4"/>
  <c r="H60" i="4" l="1"/>
  <c r="I60" i="4" s="1"/>
  <c r="M60" i="4" s="1"/>
  <c r="N60" i="4" s="1"/>
  <c r="O60" i="4" s="1"/>
  <c r="J60" i="4" l="1"/>
  <c r="E60" i="4" s="1"/>
  <c r="B61" i="4" l="1"/>
  <c r="C61" i="4"/>
  <c r="D61" i="4" l="1"/>
  <c r="Q61" i="4" s="1"/>
  <c r="R61" i="4" l="1"/>
  <c r="S61" i="4" s="1"/>
  <c r="F61" i="4"/>
  <c r="H61" i="4"/>
  <c r="K61" i="4"/>
  <c r="G61" i="4"/>
  <c r="L61" i="4"/>
  <c r="I61" i="4" l="1"/>
  <c r="M61" i="4" s="1"/>
  <c r="N61" i="4" s="1"/>
  <c r="O61" i="4" s="1"/>
  <c r="J61" i="4"/>
  <c r="E61" i="4" l="1"/>
  <c r="C62" i="4" s="1"/>
  <c r="B62" i="4" l="1"/>
  <c r="D62" i="4" s="1"/>
  <c r="Q62" i="4" s="1"/>
  <c r="G62" i="4" l="1"/>
  <c r="R62" i="4"/>
  <c r="S62" i="4" s="1"/>
  <c r="L62" i="4"/>
  <c r="F62" i="4"/>
  <c r="K62" i="4"/>
  <c r="H62" i="4"/>
  <c r="I62" i="4" l="1"/>
  <c r="J62" i="4" s="1"/>
  <c r="M62" i="4" l="1"/>
  <c r="N62" i="4" s="1"/>
  <c r="O62" i="4" s="1"/>
  <c r="E62" i="4" s="1"/>
  <c r="B63" i="4" l="1"/>
  <c r="C63" i="4"/>
  <c r="D63" i="4" l="1"/>
  <c r="Q63" i="4" s="1"/>
  <c r="K63" i="4" l="1"/>
  <c r="G63" i="4"/>
  <c r="R63" i="4"/>
  <c r="S63" i="4" s="1"/>
  <c r="H63" i="4"/>
  <c r="L63" i="4"/>
  <c r="F63" i="4"/>
  <c r="I63" i="4" l="1"/>
  <c r="J63" i="4"/>
  <c r="M63" i="4"/>
  <c r="N63" i="4" s="1"/>
  <c r="O63" i="4" s="1"/>
  <c r="E63" i="4" l="1"/>
  <c r="C64" i="4" l="1"/>
  <c r="B64" i="4"/>
  <c r="D64" i="4" s="1"/>
  <c r="Q64" i="4" s="1"/>
  <c r="L64" i="4" l="1"/>
  <c r="R64" i="4"/>
  <c r="S64" i="4" s="1"/>
  <c r="G64" i="4"/>
  <c r="F64" i="4"/>
  <c r="H64" i="4"/>
  <c r="K64" i="4"/>
  <c r="I64" i="4" l="1"/>
  <c r="J64" i="4" s="1"/>
  <c r="M64" i="4"/>
  <c r="N64" i="4" s="1"/>
  <c r="O64" i="4" s="1"/>
  <c r="E64" i="4" s="1"/>
  <c r="B65" i="4" l="1"/>
  <c r="C65" i="4"/>
  <c r="D65" i="4" l="1"/>
  <c r="Q65" i="4" s="1"/>
  <c r="F65" i="4" l="1"/>
  <c r="L65" i="4"/>
  <c r="R65" i="4"/>
  <c r="S65" i="4" s="1"/>
  <c r="G65" i="4"/>
  <c r="H65" i="4"/>
  <c r="K65" i="4"/>
  <c r="I65" i="4" l="1"/>
  <c r="J65" i="4" l="1"/>
  <c r="M65" i="4"/>
  <c r="N65" i="4" s="1"/>
  <c r="O65" i="4" s="1"/>
  <c r="E65" i="4" l="1"/>
  <c r="B66" i="4"/>
  <c r="C66" i="4"/>
  <c r="D66" i="4" l="1"/>
  <c r="Q66" i="4" s="1"/>
  <c r="L66" i="4" l="1"/>
  <c r="R66" i="4"/>
  <c r="S66" i="4" s="1"/>
  <c r="K66" i="4"/>
  <c r="G66" i="4"/>
  <c r="F66" i="4"/>
  <c r="H66" i="4"/>
  <c r="I66" i="4" l="1"/>
  <c r="M66" i="4" l="1"/>
  <c r="N66" i="4" s="1"/>
  <c r="O66" i="4" s="1"/>
  <c r="J66" i="4"/>
  <c r="E66" i="4" l="1"/>
  <c r="C67" i="4" l="1"/>
  <c r="B67" i="4"/>
  <c r="D67" i="4" l="1"/>
  <c r="Q67" i="4" s="1"/>
  <c r="H67" i="4"/>
  <c r="L67" i="4"/>
  <c r="K67" i="4"/>
  <c r="R67" i="4"/>
  <c r="S67" i="4" s="1"/>
  <c r="G67" i="4"/>
  <c r="F67" i="4"/>
  <c r="I67" i="4" l="1"/>
  <c r="J67" i="4" s="1"/>
  <c r="M67" i="4"/>
  <c r="N67" i="4" l="1"/>
  <c r="O67" i="4" s="1"/>
  <c r="E67" i="4" s="1"/>
  <c r="B68" i="4" s="1"/>
  <c r="C68" i="4" l="1"/>
  <c r="D68" i="4" s="1"/>
  <c r="Q68" i="4" l="1"/>
  <c r="G68" i="4"/>
  <c r="F68" i="4"/>
  <c r="K68" i="4"/>
  <c r="R68" i="4"/>
  <c r="S68" i="4" s="1"/>
  <c r="L68" i="4"/>
  <c r="H68" i="4"/>
  <c r="I68" i="4" l="1"/>
  <c r="M68" i="4"/>
  <c r="N68" i="4" s="1"/>
  <c r="O68" i="4" s="1"/>
  <c r="J68" i="4"/>
  <c r="E68" i="4" l="1"/>
  <c r="C69" i="4" s="1"/>
  <c r="B69" i="4" l="1"/>
  <c r="D69" i="4" s="1"/>
  <c r="H69" i="4" s="1"/>
  <c r="L69" i="4"/>
  <c r="K69" i="4"/>
  <c r="F69" i="4" l="1"/>
  <c r="G69" i="4"/>
  <c r="I69" i="4" s="1"/>
  <c r="J69" i="4" s="1"/>
  <c r="Q69" i="4"/>
  <c r="R69" i="4"/>
  <c r="S69" i="4" s="1"/>
  <c r="M69" i="4" l="1"/>
  <c r="N69" i="4" s="1"/>
  <c r="O69" i="4" s="1"/>
  <c r="E69" i="4" s="1"/>
  <c r="C70" i="4" l="1"/>
  <c r="B70" i="4"/>
  <c r="D70" i="4" l="1"/>
  <c r="H70" i="4" s="1"/>
  <c r="F70" i="4"/>
  <c r="L70" i="4" l="1"/>
  <c r="Q70" i="4"/>
  <c r="G70" i="4"/>
  <c r="I70" i="4" s="1"/>
  <c r="K70" i="4"/>
  <c r="R70" i="4"/>
  <c r="S70" i="4" s="1"/>
  <c r="M70" i="4" l="1"/>
  <c r="N70" i="4" s="1"/>
  <c r="O70" i="4" s="1"/>
  <c r="J70" i="4"/>
  <c r="E70" i="4" l="1"/>
  <c r="C71" i="4" l="1"/>
  <c r="B71" i="4"/>
  <c r="D71" i="4" s="1"/>
  <c r="Q71" i="4" s="1"/>
  <c r="D73" i="4" l="1"/>
  <c r="Q73" i="4" s="1"/>
  <c r="B25" i="4" s="1"/>
  <c r="E20" i="2" s="1"/>
  <c r="G71" i="4"/>
  <c r="R71" i="4"/>
  <c r="S71" i="4" s="1"/>
  <c r="K71" i="4"/>
  <c r="L71" i="4"/>
  <c r="F71" i="4"/>
  <c r="H71" i="4"/>
  <c r="I71" i="4" l="1"/>
  <c r="F73" i="4"/>
  <c r="L73" i="4"/>
  <c r="B11" i="4" s="1"/>
  <c r="E14" i="2" s="1"/>
  <c r="H73" i="4"/>
  <c r="B6" i="4" s="1"/>
  <c r="E8" i="2" s="1"/>
  <c r="B3" i="4"/>
  <c r="G73" i="4"/>
  <c r="B5" i="4" s="1"/>
  <c r="E7" i="2" s="1"/>
  <c r="K73" i="4"/>
  <c r="B10" i="4" s="1"/>
  <c r="E10" i="2" s="1"/>
  <c r="R73" i="4"/>
  <c r="B27" i="4" l="1"/>
  <c r="S73" i="4"/>
  <c r="B26" i="4" s="1"/>
  <c r="E21" i="2" s="1"/>
  <c r="B20" i="4"/>
  <c r="B19" i="4"/>
  <c r="B18" i="4"/>
  <c r="E4" i="2"/>
  <c r="B17" i="4"/>
  <c r="B16" i="4"/>
  <c r="I73" i="4"/>
  <c r="B4" i="4"/>
  <c r="E6" i="2" s="1"/>
  <c r="J71" i="4"/>
  <c r="M71" i="4"/>
  <c r="N71" i="4" s="1"/>
  <c r="O71" i="4" s="1"/>
  <c r="E71" i="4" l="1"/>
  <c r="B21" i="4"/>
  <c r="E16" i="2" s="1"/>
  <c r="B7" i="4"/>
  <c r="M73" i="4"/>
  <c r="B12" i="4" s="1"/>
  <c r="J73" i="4"/>
  <c r="B28" i="4"/>
  <c r="E22" i="2" s="1"/>
  <c r="B22" i="4" l="1"/>
  <c r="B9" i="4"/>
  <c r="E9" i="2" s="1"/>
  <c r="N73" i="4"/>
  <c r="B8" i="4"/>
  <c r="E5" i="2"/>
  <c r="E17" i="2" l="1"/>
  <c r="E15" i="2"/>
  <c r="O73" i="4"/>
  <c r="B13" i="4"/>
  <c r="E13" i="2" s="1"/>
  <c r="B14" i="4" l="1"/>
  <c r="E11" i="2" s="1"/>
  <c r="E73" i="4"/>
  <c r="B15" i="4" s="1"/>
  <c r="E12" i="2" s="1"/>
</calcChain>
</file>

<file path=xl/sharedStrings.xml><?xml version="1.0" encoding="utf-8"?>
<sst xmlns="http://schemas.openxmlformats.org/spreadsheetml/2006/main" count="716" uniqueCount="253">
  <si>
    <t>ZAŁOŻENIA PRAWNO-SKŁADKOWE 2026</t>
  </si>
  <si>
    <t>Parametr</t>
  </si>
  <si>
    <t>Wartość</t>
  </si>
  <si>
    <t>Jednostka</t>
  </si>
  <si>
    <t>Uwagi</t>
  </si>
  <si>
    <t>Próg skali PIT</t>
  </si>
  <si>
    <t>PLN rocznie</t>
  </si>
  <si>
    <t>Skala 12% / 32%</t>
  </si>
  <si>
    <t>Stawka PIT I</t>
  </si>
  <si>
    <t>%</t>
  </si>
  <si>
    <t>Do 120 000 PLN</t>
  </si>
  <si>
    <t>Stawka PIT II</t>
  </si>
  <si>
    <t>Nadwyżka ponad 120 000 PLN</t>
  </si>
  <si>
    <t>Kwota zmniejszająca podatek</t>
  </si>
  <si>
    <t>Kwota wolna 30 000 PLN</t>
  </si>
  <si>
    <t>Podatek liniowy B2B</t>
  </si>
  <si>
    <t>Dochód z działalności</t>
  </si>
  <si>
    <t>Limit odliczenia zdrowotnej — liniowy</t>
  </si>
  <si>
    <t>Limit 2026</t>
  </si>
  <si>
    <t>Emerytalna pracownik</t>
  </si>
  <si>
    <t>UoP / oskładkowane zlecenie</t>
  </si>
  <si>
    <t>Rentowa pracownik</t>
  </si>
  <si>
    <t>Chorobowa pracownik</t>
  </si>
  <si>
    <t>UoP; na zleceniu dobrowolna</t>
  </si>
  <si>
    <t>Zdrowotna</t>
  </si>
  <si>
    <t>Podstawa po składkach społecznych</t>
  </si>
  <si>
    <t>Emerytalna pracodawca</t>
  </si>
  <si>
    <t>Rentowa pracodawca</t>
  </si>
  <si>
    <t>Wypadkowa pracodawca</t>
  </si>
  <si>
    <t>Domyślna; zależy od płatnika</t>
  </si>
  <si>
    <t>Fundusz Pracy</t>
  </si>
  <si>
    <t>Z zastrzeżeniami ustawowymi</t>
  </si>
  <si>
    <t>FGŚP</t>
  </si>
  <si>
    <t>UoP / wybrane zlecenia</t>
  </si>
  <si>
    <t>PPK pracownik — podstawowa</t>
  </si>
  <si>
    <t>Możliwa wpłata obniżona / dodatkowa</t>
  </si>
  <si>
    <t>PPK pracodawca — podstawowa</t>
  </si>
  <si>
    <t>Stanowi przychód do PIT</t>
  </si>
  <si>
    <t>Minimalne wynagrodzenie</t>
  </si>
  <si>
    <t>PLN / miesiąc</t>
  </si>
  <si>
    <t>Od 1 stycznia 2026</t>
  </si>
  <si>
    <t>Minimalna zdrowotna — styczeń 2026</t>
  </si>
  <si>
    <t>PLN</t>
  </si>
  <si>
    <t>Skala / liniowy</t>
  </si>
  <si>
    <t>Minimalna zdrowotna — luty–grudzień 2026</t>
  </si>
  <si>
    <t>B2B pełny ZUS bez chorobowej</t>
  </si>
  <si>
    <t>Składki społeczne + FP</t>
  </si>
  <si>
    <t>B2B pełny ZUS z chorobową</t>
  </si>
  <si>
    <t>B2B preferencyjny ZUS bez chorobowej</t>
  </si>
  <si>
    <t>Bez FP</t>
  </si>
  <si>
    <t>B2B preferencyjny ZUS z chorobową</t>
  </si>
  <si>
    <t>Ryczałt zdrowotna — przychód do 60 tys.</t>
  </si>
  <si>
    <t>60% przeciętnego wynagrodzenia × 9%</t>
  </si>
  <si>
    <t>Ryczałt zdrowotna — 60–300 tys.</t>
  </si>
  <si>
    <t>100% przeciętnego wynagrodzenia × 9%</t>
  </si>
  <si>
    <t>Ryczałt zdrowotna — powyżej 300 tys.</t>
  </si>
  <si>
    <t>180% przeciętnego wynagrodzenia × 9%</t>
  </si>
  <si>
    <t>KUP UoP miejscowe</t>
  </si>
  <si>
    <t>Podstawowe</t>
  </si>
  <si>
    <t>KUP UoP dojazdowe</t>
  </si>
  <si>
    <t>Poza miejscowością zamieszkania</t>
  </si>
  <si>
    <t>KUP zlecenie / dzieło</t>
  </si>
  <si>
    <t>Od przychodu pomniejszonego o składki społeczne</t>
  </si>
  <si>
    <t>KUP autorskie</t>
  </si>
  <si>
    <t>Po spełnieniu warunków i limitu</t>
  </si>
  <si>
    <t>Zaokrąglenie zaliczki PIT</t>
  </si>
  <si>
    <t>pełne PLN</t>
  </si>
  <si>
    <t>Zaliczka zaokrąglana do pełnych złotych</t>
  </si>
  <si>
    <t>KALKULATOR WYNAGRODZEŃ 2026</t>
  </si>
  <si>
    <t>Polska | miesięczny kalkulator brutto ↔ netto | stan prawny na 26.08.2026</t>
  </si>
  <si>
    <t>WEJŚCIE</t>
  </si>
  <si>
    <t>WYNIK I SKŁADNIKI</t>
  </si>
  <si>
    <t>Kierunek</t>
  </si>
  <si>
    <t>Brutto → netto</t>
  </si>
  <si>
    <t>Kwota brutto / przychód</t>
  </si>
  <si>
    <t>Forma zatrudnienia</t>
  </si>
  <si>
    <t>Umowa o pracę (UoP)</t>
  </si>
  <si>
    <t>Składki społeczne pracownika</t>
  </si>
  <si>
    <t>Kwota wejściowa</t>
  </si>
  <si>
    <t xml:space="preserve">  Emerytalna</t>
  </si>
  <si>
    <t>Miesiąc</t>
  </si>
  <si>
    <t>1–12</t>
  </si>
  <si>
    <t xml:space="preserve">  Rentowa</t>
  </si>
  <si>
    <t xml:space="preserve">  Chorobowa</t>
  </si>
  <si>
    <t>USTAWIENIA PODATKOWE I SKŁADKOWE</t>
  </si>
  <si>
    <t>Składka zdrowotna</t>
  </si>
  <si>
    <t>KUP UoP</t>
  </si>
  <si>
    <t>PPK pracownik</t>
  </si>
  <si>
    <t>Miesięczna kwota PIT-2</t>
  </si>
  <si>
    <t>Zaliczka na PIT</t>
  </si>
  <si>
    <t>Podstawa PIT narastająco przed miesiącem</t>
  </si>
  <si>
    <t>KWOTA NETTO / NA RĘKĘ</t>
  </si>
  <si>
    <t>Podstawa opodatkowania bieżąca</t>
  </si>
  <si>
    <t>PPK pracodawca</t>
  </si>
  <si>
    <t>Udział w PPK</t>
  </si>
  <si>
    <t>Tak</t>
  </si>
  <si>
    <t>Koszt pracodawcy / kontrahenta</t>
  </si>
  <si>
    <t>Status zlecenia</t>
  </si>
  <si>
    <t>Pełne ZUS</t>
  </si>
  <si>
    <t xml:space="preserve">  Składki pracodawcy</t>
  </si>
  <si>
    <t>Chorobowe na zleceniu</t>
  </si>
  <si>
    <t xml:space="preserve">  Całkowity koszt</t>
  </si>
  <si>
    <t>KUP dzieło</t>
  </si>
  <si>
    <t>B2B: koszty</t>
  </si>
  <si>
    <t>Forma opodatkowania B2B</t>
  </si>
  <si>
    <t>Skala podatkowa</t>
  </si>
  <si>
    <t>B2B: składki społeczne</t>
  </si>
  <si>
    <t>Koszty B2B bieżącego miesiąca</t>
  </si>
  <si>
    <t>B2B: składka zdrowotna</t>
  </si>
  <si>
    <t>Schemat ZUS B2B</t>
  </si>
  <si>
    <t>Pełny ZUS</t>
  </si>
  <si>
    <t>B2B: podatek</t>
  </si>
  <si>
    <t>Chorobowe B2B</t>
  </si>
  <si>
    <t>Kontrola kierunku netto → brutto</t>
  </si>
  <si>
    <t>Stawka ryczałtu B2B</t>
  </si>
  <si>
    <t>Dochód B2B narastająco przed miesiącem</t>
  </si>
  <si>
    <t>Przychód B2B narastająco przed miesiącem</t>
  </si>
  <si>
    <t>Dochód B2B poprzedniego miesiąca</t>
  </si>
  <si>
    <t>Niestandardowe składki społeczne B2B</t>
  </si>
  <si>
    <t>Niestandardowa składka zdrowotna B2B</t>
  </si>
  <si>
    <t>Odliczona zdrowotna liniowa narastająco</t>
  </si>
  <si>
    <t>Uwaga</t>
  </si>
  <si>
    <t>Wynik ma charakter informacyjny. Rozliczenie zależy m.in. od ulg, limitów rocznych, wieku, innych tytułów ubezpieczenia i indywidualnej sytuacji.</t>
  </si>
  <si>
    <t>SILNIK OBLICZENIOWY 2026</t>
  </si>
  <si>
    <t>Pozycja</t>
  </si>
  <si>
    <t>Podstawa zdrowotnej</t>
  </si>
  <si>
    <t>KUP</t>
  </si>
  <si>
    <t>Podstawa PIT bieżąca</t>
  </si>
  <si>
    <t>Zaliczka PIT</t>
  </si>
  <si>
    <t>Netto</t>
  </si>
  <si>
    <t>FP</t>
  </si>
  <si>
    <t>Składki pracodawcy</t>
  </si>
  <si>
    <t>Całkowity koszt</t>
  </si>
  <si>
    <t>B2B koszty</t>
  </si>
  <si>
    <t>B2B składki społeczne</t>
  </si>
  <si>
    <t>B2B zdrowotna</t>
  </si>
  <si>
    <t>B2B podatek</t>
  </si>
  <si>
    <t>B2B dochód bieżący</t>
  </si>
  <si>
    <t>Kontrola netto</t>
  </si>
  <si>
    <t>Iteracja</t>
  </si>
  <si>
    <t>Dolna granica</t>
  </si>
  <si>
    <t>Górna granica</t>
  </si>
  <si>
    <t>Próba brutto</t>
  </si>
  <si>
    <t>Netto z próby</t>
  </si>
  <si>
    <t>Emerytalna</t>
  </si>
  <si>
    <t>Rentowa</t>
  </si>
  <si>
    <t>Chorobowa</t>
  </si>
  <si>
    <t>Społeczne</t>
  </si>
  <si>
    <t>PPK prac.</t>
  </si>
  <si>
    <t>PPK pracod.</t>
  </si>
  <si>
    <t>Podstawa PIT</t>
  </si>
  <si>
    <t>PIT etat/cywilne</t>
  </si>
  <si>
    <t>B2B społeczne</t>
  </si>
  <si>
    <t>B2B dochód</t>
  </si>
  <si>
    <t>B2B PIT</t>
  </si>
  <si>
    <t>ŹRÓDŁA I PODSTAWY PRAWNE 2026</t>
  </si>
  <si>
    <t>Wartość / zakres</t>
  </si>
  <si>
    <t>Okres / stan</t>
  </si>
  <si>
    <t>Link</t>
  </si>
  <si>
    <t>Źródło</t>
  </si>
  <si>
    <t>Sekcja / przepis</t>
  </si>
  <si>
    <t>Dostęp</t>
  </si>
  <si>
    <t>Skala PIT</t>
  </si>
  <si>
    <t>12% / 32%, próg 120 000, kwota zmniejszająca 3 600</t>
  </si>
  <si>
    <t>PLN / %</t>
  </si>
  <si>
    <t>podatki.gov.pl</t>
  </si>
  <si>
    <t>Stawki podatkowe PIT</t>
  </si>
  <si>
    <t>Oficjalny portal podatkowy</t>
  </si>
  <si>
    <t>Koszty uzyskania przychodów</t>
  </si>
  <si>
    <t>UoP 250/300; zlecenie/dzieło 20%; autorskie 50%</t>
  </si>
  <si>
    <t>Obowiązują limity i warunki ustawowe</t>
  </si>
  <si>
    <t>Stopy składek społecznych</t>
  </si>
  <si>
    <t>Emerytalna, rentowa, chorobowa, wypadkowa, FP, FGŚP</t>
  </si>
  <si>
    <t>ZUS</t>
  </si>
  <si>
    <t>Wysokość składek</t>
  </si>
  <si>
    <t>Wypadkowa zależy od płatnika</t>
  </si>
  <si>
    <t>Składki przedsiębiorców</t>
  </si>
  <si>
    <t>Pełny i preferencyjny ZUS społeczny</t>
  </si>
  <si>
    <t>Składki społeczne 2026</t>
  </si>
  <si>
    <t>Kwoty miesięczne</t>
  </si>
  <si>
    <t>Zdrowotna przedsiębiorców</t>
  </si>
  <si>
    <t>Skala, liniowy, ryczałt i minimum</t>
  </si>
  <si>
    <t>Składka zdrowotna 2026</t>
  </si>
  <si>
    <t>Podstawa zależy od formy opodatkowania</t>
  </si>
  <si>
    <t>od 01.01.2026</t>
  </si>
  <si>
    <t>gov.pl</t>
  </si>
  <si>
    <t>Minimalne wynagrodzenie 2026</t>
  </si>
  <si>
    <t>Wpływa m.in. na minimum zdrowotne</t>
  </si>
  <si>
    <t>PPK — wysokość wpłat</t>
  </si>
  <si>
    <t>Pracownik 2%; pracodawca 1,5%; wpłaty dodatkowe</t>
  </si>
  <si>
    <t>MojePPK / PFR</t>
  </si>
  <si>
    <t>Wpłaty do PPK</t>
  </si>
  <si>
    <t>Wpłata pracodawcy zwiększa przychód PIT</t>
  </si>
  <si>
    <t>Ryczałt — stawki</t>
  </si>
  <si>
    <t>Stawka zależna od rodzaju działalności</t>
  </si>
  <si>
    <t>Biznes.gov.pl</t>
  </si>
  <si>
    <t>Ryczałt od przychodów ewidencjonowanych</t>
  </si>
  <si>
    <t>Stawka jest edytowalnym parametrem</t>
  </si>
  <si>
    <t>Ustawa o PIT</t>
  </si>
  <si>
    <t>Podstawa prawna opodatkowania osób fizycznych</t>
  </si>
  <si>
    <t>—</t>
  </si>
  <si>
    <t>tekst aktualny</t>
  </si>
  <si>
    <t>ISAP</t>
  </si>
  <si>
    <t>Stosuj aktualny tekst i nowelizacje</t>
  </si>
  <si>
    <t>Ustawa systemowa ZUS</t>
  </si>
  <si>
    <t>Podstawa prawna ubezpieczeń społecznych</t>
  </si>
  <si>
    <t>Ustawa systemowa</t>
  </si>
  <si>
    <t>Otwórz źródło</t>
  </si>
  <si>
    <t>Podstawa składek emerytalno-rentowych narastająco</t>
  </si>
  <si>
    <t>Limit 30-krotności składek E/R</t>
  </si>
  <si>
    <t>30 × prognozowane przeciętne wynagrodzenie 9 420 PLN</t>
  </si>
  <si>
    <t>Umowa zlecenie</t>
  </si>
  <si>
    <t>Umowa o dzieło</t>
  </si>
  <si>
    <t>Ryczałt</t>
  </si>
  <si>
    <t>Nie</t>
  </si>
  <si>
    <t>DANE KADROWE (HR)</t>
  </si>
  <si>
    <t>DANE WEJŚCIOWE DO KALKULATORA (zakres C5–C16)</t>
  </si>
  <si>
    <t>WYLICZENIA – DO UZUPEŁNIENIA (zakres B27–B39)</t>
  </si>
  <si>
    <t>Lp.</t>
  </si>
  <si>
    <t>Imię i nazwisko</t>
  </si>
  <si>
    <t>Dział</t>
  </si>
  <si>
    <t>Stanowisko</t>
  </si>
  <si>
    <t>Data zatrudnienia</t>
  </si>
  <si>
    <t>Tryb wejścia (Brutto/Netto)</t>
  </si>
  <si>
    <t>Kwota miesięczna [zł]</t>
  </si>
  <si>
    <t>Ulga PIT-2 (kwota zmniejsz.)?</t>
  </si>
  <si>
    <t>Koszty uzyskania UoP [zł]</t>
  </si>
  <si>
    <t>Ulga dla młodych (&lt;26)?</t>
  </si>
  <si>
    <t>Student &lt;26 (zlecenie)?</t>
  </si>
  <si>
    <t>Chorobowe dobrowolne?</t>
  </si>
  <si>
    <t>KUP 50% – dzieło?</t>
  </si>
  <si>
    <t>B2B – forma opodatkowania</t>
  </si>
  <si>
    <t>B2B – stawka ryczałtu</t>
  </si>
  <si>
    <t>B2B – podstawa ZUS</t>
  </si>
  <si>
    <t>Brutto / Przychód [zł]</t>
  </si>
  <si>
    <t>Skł. emerytalna [zł]</t>
  </si>
  <si>
    <t>Skł. rentowa [zł]</t>
  </si>
  <si>
    <t>Skł. chorobowa [zł]</t>
  </si>
  <si>
    <t>Razem skł. społeczne (ZUS) [zł]</t>
  </si>
  <si>
    <t>Podstawa zdrowotnej / dochód [zł]</t>
  </si>
  <si>
    <t>Składka zdrowotna [zł]</t>
  </si>
  <si>
    <t>Koszty uzyskania (KUP) [zł]</t>
  </si>
  <si>
    <t>Podstawa opodatkowania [zł]</t>
  </si>
  <si>
    <t>Zaliczka PIT [zł]</t>
  </si>
  <si>
    <t>NETTO na rękę [zł]</t>
  </si>
  <si>
    <t>Koszt pracodawcy / faktura [zł]</t>
  </si>
  <si>
    <t>Efektywne obciążenie</t>
  </si>
  <si>
    <t>Brutto</t>
  </si>
  <si>
    <t>Umowa o pracę</t>
  </si>
  <si>
    <t>B2B</t>
  </si>
  <si>
    <t>Duży</t>
  </si>
  <si>
    <t>Liniowy</t>
  </si>
  <si>
    <t>Skala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</si>
</sst>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PLN&quot;;[Red]\(#,##0.00\ &quot;PLN&quot;\);\-"/>
    <numFmt numFmtId="165" formatCode="0.0%"/>
    <numFmt numFmtId="166" formatCode="dd\.mm\.yyyy"/>
    <numFmt numFmtId="167" formatCode="#,##0\ &quot;zł&quot;"/>
    <numFmt numFmtId="168" formatCode="#,##0.00\ &quot;zł&quot;;[Red]\(#,##0.00\ &quot;zł&quot;\);\-"/>
  </numFmts>
  <fonts count="20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Calibri"/>
    </font>
    <font>
      <u/>
      <sz val="11"/>
      <color theme="10"/>
      <name val="Calibri"/>
    </font>
    <font>
      <b/>
      <sz val="11"/>
      <color rgb="FFFFFFFF"/>
      <name val="Calibri"/>
    </font>
    <font>
      <b/>
      <sz val="11"/>
      <color rgb="FFFFFFFF"/>
      <name val="Aptos Narrow"/>
      <family val="2"/>
      <charset val="238"/>
      <scheme val="minor"/>
    </font>
    <font>
      <b/>
      <sz val="16"/>
      <color rgb="FFFFFFFF"/>
      <name val="Calibri"/>
    </font>
    <font>
      <b/>
      <sz val="16"/>
      <color rgb="FFFFFFFF"/>
      <name val="Aptos Narrow"/>
      <family val="2"/>
      <charset val="238"/>
      <scheme val="minor"/>
    </font>
    <font>
      <i/>
      <sz val="11"/>
      <color theme="1"/>
      <name val="Calibri"/>
    </font>
    <font>
      <i/>
      <sz val="11"/>
      <color theme="1"/>
      <name val="Aptos Narrow"/>
      <family val="2"/>
      <charset val="238"/>
      <scheme val="minor"/>
    </font>
    <font>
      <i/>
      <sz val="11"/>
      <color rgb="FF666666"/>
      <name val="Calibri"/>
    </font>
    <font>
      <i/>
      <sz val="11"/>
      <color rgb="FF666666"/>
      <name val="Aptos Narrow"/>
      <family val="2"/>
      <charset val="238"/>
      <scheme val="minor"/>
    </font>
    <font>
      <sz val="11"/>
      <color rgb="FF0070C0"/>
      <name val="Calibri"/>
    </font>
    <font>
      <b/>
      <sz val="11"/>
      <color rgb="FF0070C0"/>
      <name val="Calibri"/>
    </font>
    <font>
      <b/>
      <sz val="11"/>
      <color theme="1"/>
      <name val="Calibri"/>
    </font>
    <font>
      <b/>
      <sz val="15"/>
      <color rgb="FFFFFFFF"/>
      <name val="Calibri"/>
    </font>
    <font>
      <sz val="11"/>
      <color rgb="FF008000"/>
      <name val="Calibri"/>
    </font>
    <font>
      <sz val="11"/>
      <color rgb="FF00800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D2330"/>
        <bgColor indexed="64"/>
      </patternFill>
    </fill>
    <fill>
      <patternFill patternType="solid">
        <fgColor rgb="FFEAF3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3E5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9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0" fillId="0" borderId="0" xfId="0" applyFont="1"/>
    <xf numFmtId="0" fontId="11" fillId="0" borderId="0" xfId="0" applyFont="1"/>
    <xf numFmtId="0" fontId="12" fillId="3" borderId="0" xfId="0" applyFont="1" applyFill="1"/>
    <xf numFmtId="0" fontId="13" fillId="3" borderId="0" xfId="0" applyFont="1" applyFill="1"/>
    <xf numFmtId="9" fontId="12" fillId="3" borderId="0" xfId="0" applyNumberFormat="1" applyFont="1" applyFill="1"/>
    <xf numFmtId="164" fontId="14" fillId="0" borderId="0" xfId="0" applyNumberFormat="1" applyFont="1"/>
    <xf numFmtId="0" fontId="14" fillId="4" borderId="1" xfId="0" applyFont="1" applyFill="1" applyBorder="1"/>
    <xf numFmtId="164" fontId="14" fillId="4" borderId="1" xfId="0" applyNumberFormat="1" applyFont="1" applyFill="1" applyBorder="1"/>
    <xf numFmtId="0" fontId="2" fillId="5" borderId="0" xfId="0" applyFont="1" applyFill="1"/>
    <xf numFmtId="164" fontId="14" fillId="5" borderId="0" xfId="0" applyNumberFormat="1" applyFont="1" applyFill="1"/>
    <xf numFmtId="0" fontId="8" fillId="6" borderId="0" xfId="0" applyFont="1" applyFill="1" applyAlignment="1">
      <alignment wrapText="1"/>
    </xf>
    <xf numFmtId="0" fontId="9" fillId="6" borderId="0" xfId="0" applyFont="1" applyFill="1" applyAlignment="1">
      <alignment wrapText="1"/>
    </xf>
    <xf numFmtId="165" fontId="12" fillId="3" borderId="0" xfId="0" applyNumberFormat="1" applyFont="1" applyFill="1"/>
    <xf numFmtId="0" fontId="15" fillId="2" borderId="0" xfId="0" applyFont="1" applyFill="1"/>
    <xf numFmtId="0" fontId="14" fillId="7" borderId="0" xfId="0" applyFont="1" applyFill="1"/>
    <xf numFmtId="0" fontId="16" fillId="0" borderId="0" xfId="0" applyFont="1"/>
    <xf numFmtId="0" fontId="15" fillId="2" borderId="0" xfId="0" applyFont="1" applyFill="1" applyAlignment="1">
      <alignment wrapText="1"/>
    </xf>
    <xf numFmtId="0" fontId="14" fillId="7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1" applyFont="1" applyAlignment="1">
      <alignment wrapText="1"/>
    </xf>
    <xf numFmtId="14" fontId="2" fillId="0" borderId="0" xfId="0" applyNumberFormat="1" applyFont="1" applyAlignment="1">
      <alignment wrapText="1"/>
    </xf>
    <xf numFmtId="0" fontId="17" fillId="0" borderId="0" xfId="0" applyFont="1"/>
    <xf numFmtId="0" fontId="18" fillId="11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166" fontId="19" fillId="0" borderId="2" xfId="0" applyNumberFormat="1" applyFont="1" applyBorder="1" applyAlignment="1">
      <alignment horizontal="center"/>
    </xf>
    <xf numFmtId="167" fontId="19" fillId="0" borderId="2" xfId="0" applyNumberFormat="1" applyFont="1" applyBorder="1"/>
    <xf numFmtId="3" fontId="19" fillId="0" borderId="2" xfId="0" applyNumberFormat="1" applyFont="1" applyBorder="1" applyAlignment="1">
      <alignment horizontal="center"/>
    </xf>
    <xf numFmtId="165" fontId="19" fillId="0" borderId="2" xfId="0" applyNumberFormat="1" applyFont="1" applyBorder="1" applyAlignment="1">
      <alignment horizontal="center"/>
    </xf>
    <xf numFmtId="165" fontId="19" fillId="12" borderId="2" xfId="0" applyNumberFormat="1" applyFont="1" applyFill="1" applyBorder="1"/>
    <xf numFmtId="168" fontId="19" fillId="12" borderId="2" xfId="0" applyNumberFormat="1" applyFont="1" applyFill="1" applyBorder="1"/>
    <xf numFmtId="0" fontId="5" fillId="8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A300D0-089C-4F7A-B59B-C5808E69DEB9}">
  <we:reference id="WA200010215" version="2.0.0.0" store="Omex" storeType="OMEX"/>
  <we:alternateReferences>
    <we:reference id="WA200010215" version="2.0.0.0" store="WA200010215" storeType="OMEX"/>
  </we:alternateReferences>
  <we:properties>
    <we:property name="bps.codex_control.document_id" value="&quot;dd60e640-b654-486d-af58-2a7d9c9c7cba&quot;"/>
  </we:properties>
  <we:bindings/>
  <we:snapshot xmlns:r="http://schemas.openxmlformats.org/officeDocument/2006/relationships"/>
</we:webextension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znes.gov.pl/pl/portal/00265" TargetMode="External"/><Relationship Id="rId3" Type="http://schemas.openxmlformats.org/officeDocument/2006/relationships/hyperlink" Target="https://www.zus.pl/baza-wiedzy/skladki-wskazniki-odsetki/skladki/wysokosc-skladek-na-ubezpieczenia-spoleczne" TargetMode="External"/><Relationship Id="rId7" Type="http://schemas.openxmlformats.org/officeDocument/2006/relationships/hyperlink" Target="https://www.mojeppk.pl/aktualnosci/Wplaty_do_PPK_finansowane_przez_pracodawce_i_pracownika.html" TargetMode="External"/><Relationship Id="rId2" Type="http://schemas.openxmlformats.org/officeDocument/2006/relationships/hyperlink" Target="https://www.podatki.gov.pl/pit/abc-pit/koszty-uzyskania-przychodow/" TargetMode="External"/><Relationship Id="rId1" Type="http://schemas.openxmlformats.org/officeDocument/2006/relationships/hyperlink" Target="https://www.podatki.gov.pl/pit/stawki-podatkowe/" TargetMode="External"/><Relationship Id="rId6" Type="http://schemas.openxmlformats.org/officeDocument/2006/relationships/hyperlink" Target="https://www.gov.pl/web/rodzina/minimalne-wynagrodzenie-za-prace-w-2026-roku" TargetMode="External"/><Relationship Id="rId5" Type="http://schemas.openxmlformats.org/officeDocument/2006/relationships/hyperlink" Target="https://www.zus.pl/-/informacja-w-sprawie-podstawy-wymiaru-sk%C5%82adki-oraz-kwoty-sk%C5%82adki-na-ubezpieczenie-zdrowotne-w-2026-r." TargetMode="External"/><Relationship Id="rId10" Type="http://schemas.openxmlformats.org/officeDocument/2006/relationships/hyperlink" Target="https://isap.sejm.gov.pl/isap.nsf/DocDetails.xsp?id=WDU19981370887" TargetMode="External"/><Relationship Id="rId4" Type="http://schemas.openxmlformats.org/officeDocument/2006/relationships/hyperlink" Target="https://www.zus.pl/-/wysoko%C5%9B%C4%87-sk%C5%82adek-na-ubezpieczenia-spo%C5%82eczne-w-2026-r." TargetMode="External"/><Relationship Id="rId9" Type="http://schemas.openxmlformats.org/officeDocument/2006/relationships/hyperlink" Target="https://isap.sejm.gov.pl/isap.nsf/DocDetails.xsp?id=WDU19910800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447C-1A5B-463C-9A50-591C3CDBA330}">
  <dimension ref="A1:F31"/>
  <sheetViews>
    <sheetView showGridLines="0" workbookViewId="0">
      <pane ySplit="3" topLeftCell="A4" activePane="bottomLeft" state="frozen"/>
      <selection pane="bottomLeft" activeCell="D25" sqref="D25"/>
    </sheetView>
  </sheetViews>
  <sheetFormatPr defaultRowHeight="14.5" x14ac:dyDescent="0.35"/>
  <cols>
    <col min="1" max="1" width="44.54296875" customWidth="1"/>
    <col min="2" max="2" width="28.1796875" customWidth="1"/>
    <col min="3" max="3" width="12.7265625" customWidth="1"/>
    <col min="4" max="4" width="40.90625" customWidth="1"/>
    <col min="5" max="5" width="24.54296875" customWidth="1"/>
  </cols>
  <sheetData>
    <row r="1" spans="1:6" ht="28" customHeight="1" x14ac:dyDescent="0.5">
      <c r="A1" s="3" t="s">
        <v>68</v>
      </c>
      <c r="B1" s="3"/>
      <c r="C1" s="3"/>
      <c r="D1" s="3"/>
      <c r="E1" s="3"/>
      <c r="F1" s="4"/>
    </row>
    <row r="2" spans="1:6" x14ac:dyDescent="0.35">
      <c r="A2" s="5" t="s">
        <v>69</v>
      </c>
      <c r="B2" s="5"/>
      <c r="C2" s="5"/>
      <c r="D2" s="5"/>
      <c r="E2" s="5"/>
      <c r="F2" s="6"/>
    </row>
    <row r="3" spans="1:6" x14ac:dyDescent="0.35">
      <c r="A3" s="2" t="s">
        <v>70</v>
      </c>
      <c r="B3" s="2"/>
      <c r="C3" s="1"/>
      <c r="D3" s="2" t="s">
        <v>71</v>
      </c>
      <c r="E3" s="2"/>
    </row>
    <row r="4" spans="1:6" x14ac:dyDescent="0.35">
      <c r="A4" s="1" t="s">
        <v>72</v>
      </c>
      <c r="B4" s="7" t="s">
        <v>73</v>
      </c>
      <c r="C4" s="1"/>
      <c r="D4" s="1" t="s">
        <v>74</v>
      </c>
      <c r="E4" s="10">
        <f>Obliczenia!B3</f>
        <v>10000</v>
      </c>
    </row>
    <row r="5" spans="1:6" x14ac:dyDescent="0.35">
      <c r="A5" s="1" t="s">
        <v>75</v>
      </c>
      <c r="B5" s="7" t="s">
        <v>76</v>
      </c>
      <c r="C5" s="1"/>
      <c r="D5" s="1" t="s">
        <v>77</v>
      </c>
      <c r="E5" s="10">
        <f>Obliczenia!B7</f>
        <v>1371</v>
      </c>
    </row>
    <row r="6" spans="1:6" x14ac:dyDescent="0.35">
      <c r="A6" s="1" t="s">
        <v>78</v>
      </c>
      <c r="B6" s="7">
        <v>10000</v>
      </c>
      <c r="C6" s="1" t="s">
        <v>42</v>
      </c>
      <c r="D6" s="1" t="s">
        <v>79</v>
      </c>
      <c r="E6" s="10">
        <f>Obliczenia!B4</f>
        <v>976</v>
      </c>
    </row>
    <row r="7" spans="1:6" x14ac:dyDescent="0.35">
      <c r="A7" s="1" t="s">
        <v>80</v>
      </c>
      <c r="B7" s="7">
        <v>8</v>
      </c>
      <c r="C7" s="1" t="s">
        <v>81</v>
      </c>
      <c r="D7" s="1" t="s">
        <v>82</v>
      </c>
      <c r="E7" s="10">
        <f>Obliczenia!B5</f>
        <v>150</v>
      </c>
    </row>
    <row r="8" spans="1:6" x14ac:dyDescent="0.35">
      <c r="A8" s="1"/>
      <c r="B8" s="7"/>
      <c r="C8" s="1"/>
      <c r="D8" s="1" t="s">
        <v>83</v>
      </c>
      <c r="E8" s="10">
        <f>Obliczenia!B6</f>
        <v>245</v>
      </c>
    </row>
    <row r="9" spans="1:6" x14ac:dyDescent="0.35">
      <c r="A9" s="2" t="s">
        <v>84</v>
      </c>
      <c r="B9" s="8"/>
      <c r="C9" s="1"/>
      <c r="D9" s="1" t="s">
        <v>85</v>
      </c>
      <c r="E9" s="10">
        <f>IF(B5="Samozatrudnienie (B2B)",Obliczenia!B25,Obliczenia!B9)</f>
        <v>776.61</v>
      </c>
    </row>
    <row r="10" spans="1:6" x14ac:dyDescent="0.35">
      <c r="A10" s="1" t="s">
        <v>86</v>
      </c>
      <c r="B10" s="7">
        <v>250</v>
      </c>
      <c r="C10" s="1" t="s">
        <v>42</v>
      </c>
      <c r="D10" s="1" t="s">
        <v>87</v>
      </c>
      <c r="E10" s="10">
        <f>Obliczenia!B10</f>
        <v>200</v>
      </c>
    </row>
    <row r="11" spans="1:6" x14ac:dyDescent="0.35">
      <c r="A11" s="1" t="s">
        <v>88</v>
      </c>
      <c r="B11" s="7">
        <v>300</v>
      </c>
      <c r="C11" s="1" t="s">
        <v>42</v>
      </c>
      <c r="D11" s="1" t="s">
        <v>89</v>
      </c>
      <c r="E11" s="10">
        <f>Obliczenia!B14</f>
        <v>723</v>
      </c>
    </row>
    <row r="12" spans="1:6" ht="15" thickBot="1" x14ac:dyDescent="0.4">
      <c r="A12" s="1" t="s">
        <v>90</v>
      </c>
      <c r="B12" s="7">
        <v>0</v>
      </c>
      <c r="C12" s="1" t="s">
        <v>42</v>
      </c>
      <c r="D12" s="11" t="s">
        <v>91</v>
      </c>
      <c r="E12" s="12">
        <f>Obliczenia!B15</f>
        <v>6929.39</v>
      </c>
    </row>
    <row r="13" spans="1:6" ht="15" thickTop="1" x14ac:dyDescent="0.35">
      <c r="A13" s="1" t="s">
        <v>87</v>
      </c>
      <c r="B13" s="17">
        <v>0.02</v>
      </c>
      <c r="C13" s="1" t="s">
        <v>9</v>
      </c>
      <c r="D13" s="1" t="s">
        <v>92</v>
      </c>
      <c r="E13" s="10">
        <f>Obliczenia!B13</f>
        <v>8529</v>
      </c>
    </row>
    <row r="14" spans="1:6" x14ac:dyDescent="0.35">
      <c r="A14" s="1" t="s">
        <v>93</v>
      </c>
      <c r="B14" s="17">
        <v>1.4999999999999999E-2</v>
      </c>
      <c r="C14" s="1" t="s">
        <v>9</v>
      </c>
      <c r="D14" s="1" t="s">
        <v>93</v>
      </c>
      <c r="E14" s="10">
        <f>Obliczenia!B11</f>
        <v>150</v>
      </c>
    </row>
    <row r="15" spans="1:6" x14ac:dyDescent="0.35">
      <c r="A15" s="1" t="s">
        <v>94</v>
      </c>
      <c r="B15" s="7" t="s">
        <v>95</v>
      </c>
      <c r="C15" s="1"/>
      <c r="D15" s="13" t="s">
        <v>96</v>
      </c>
      <c r="E15" s="14">
        <f>Obliczenia!B22</f>
        <v>12198</v>
      </c>
    </row>
    <row r="16" spans="1:6" x14ac:dyDescent="0.35">
      <c r="A16" s="1" t="s">
        <v>97</v>
      </c>
      <c r="B16" s="7" t="s">
        <v>98</v>
      </c>
      <c r="C16" s="1"/>
      <c r="D16" s="13" t="s">
        <v>99</v>
      </c>
      <c r="E16" s="14">
        <f>Obliczenia!B21</f>
        <v>2048</v>
      </c>
    </row>
    <row r="17" spans="1:6" x14ac:dyDescent="0.35">
      <c r="A17" s="1" t="s">
        <v>100</v>
      </c>
      <c r="B17" s="7" t="s">
        <v>95</v>
      </c>
      <c r="C17" s="1"/>
      <c r="D17" s="13" t="s">
        <v>101</v>
      </c>
      <c r="E17" s="14">
        <f>Obliczenia!B22</f>
        <v>12198</v>
      </c>
    </row>
    <row r="18" spans="1:6" x14ac:dyDescent="0.35">
      <c r="A18" s="1" t="s">
        <v>102</v>
      </c>
      <c r="B18" s="9">
        <v>0.2</v>
      </c>
      <c r="C18" s="1"/>
      <c r="D18" s="1" t="s">
        <v>103</v>
      </c>
      <c r="E18" s="10">
        <f>Obliczenia!B23</f>
        <v>0</v>
      </c>
    </row>
    <row r="19" spans="1:6" x14ac:dyDescent="0.35">
      <c r="A19" s="1" t="s">
        <v>104</v>
      </c>
      <c r="B19" s="7" t="s">
        <v>105</v>
      </c>
      <c r="C19" s="1"/>
      <c r="D19" s="1" t="s">
        <v>106</v>
      </c>
      <c r="E19" s="10">
        <f>Obliczenia!B24</f>
        <v>0</v>
      </c>
    </row>
    <row r="20" spans="1:6" x14ac:dyDescent="0.35">
      <c r="A20" s="1" t="s">
        <v>107</v>
      </c>
      <c r="B20" s="7">
        <v>1000</v>
      </c>
      <c r="C20" s="1" t="s">
        <v>42</v>
      </c>
      <c r="D20" s="1" t="s">
        <v>108</v>
      </c>
      <c r="E20" s="10">
        <f>Obliczenia!B25</f>
        <v>0</v>
      </c>
    </row>
    <row r="21" spans="1:6" x14ac:dyDescent="0.35">
      <c r="A21" s="1" t="s">
        <v>109</v>
      </c>
      <c r="B21" s="7" t="s">
        <v>110</v>
      </c>
      <c r="C21" s="1"/>
      <c r="D21" s="1" t="s">
        <v>111</v>
      </c>
      <c r="E21" s="10">
        <f>Obliczenia!B26</f>
        <v>0</v>
      </c>
    </row>
    <row r="22" spans="1:6" x14ac:dyDescent="0.35">
      <c r="A22" s="1" t="s">
        <v>112</v>
      </c>
      <c r="B22" s="7" t="s">
        <v>95</v>
      </c>
      <c r="C22" s="1"/>
      <c r="D22" s="1" t="s">
        <v>113</v>
      </c>
      <c r="E22" s="10">
        <f>Obliczenia!B28</f>
        <v>0</v>
      </c>
    </row>
    <row r="23" spans="1:6" x14ac:dyDescent="0.35">
      <c r="A23" s="1" t="s">
        <v>114</v>
      </c>
      <c r="B23" s="17">
        <v>0.12</v>
      </c>
      <c r="C23" s="1" t="s">
        <v>9</v>
      </c>
      <c r="D23" s="1"/>
      <c r="E23" s="1"/>
    </row>
    <row r="24" spans="1:6" x14ac:dyDescent="0.35">
      <c r="A24" s="1" t="s">
        <v>115</v>
      </c>
      <c r="B24" s="7">
        <v>0</v>
      </c>
      <c r="C24" s="1" t="s">
        <v>42</v>
      </c>
      <c r="D24" s="1"/>
      <c r="E24" s="1"/>
    </row>
    <row r="25" spans="1:6" x14ac:dyDescent="0.35">
      <c r="A25" s="1" t="s">
        <v>116</v>
      </c>
      <c r="B25" s="7">
        <v>0</v>
      </c>
      <c r="C25" s="1" t="s">
        <v>42</v>
      </c>
      <c r="D25" s="1"/>
      <c r="E25" s="1"/>
    </row>
    <row r="26" spans="1:6" x14ac:dyDescent="0.35">
      <c r="A26" s="1" t="s">
        <v>117</v>
      </c>
      <c r="B26" s="7">
        <v>0</v>
      </c>
      <c r="C26" s="1" t="s">
        <v>42</v>
      </c>
      <c r="D26" s="1"/>
      <c r="E26" s="1"/>
    </row>
    <row r="27" spans="1:6" x14ac:dyDescent="0.35">
      <c r="A27" s="1" t="s">
        <v>118</v>
      </c>
      <c r="B27" s="7">
        <v>0</v>
      </c>
      <c r="C27" s="1" t="s">
        <v>42</v>
      </c>
      <c r="D27" s="1"/>
      <c r="E27" s="1"/>
    </row>
    <row r="28" spans="1:6" x14ac:dyDescent="0.35">
      <c r="A28" s="1" t="s">
        <v>119</v>
      </c>
      <c r="B28" s="7">
        <v>0</v>
      </c>
      <c r="C28" s="1" t="s">
        <v>42</v>
      </c>
      <c r="D28" s="1"/>
      <c r="E28" s="1"/>
    </row>
    <row r="29" spans="1:6" x14ac:dyDescent="0.35">
      <c r="A29" s="1" t="s">
        <v>120</v>
      </c>
      <c r="B29" s="7">
        <v>0</v>
      </c>
      <c r="C29" s="1" t="s">
        <v>42</v>
      </c>
      <c r="D29" s="1"/>
      <c r="E29" s="1"/>
    </row>
    <row r="30" spans="1:6" x14ac:dyDescent="0.35">
      <c r="A30" s="1" t="s">
        <v>208</v>
      </c>
      <c r="B30" s="7">
        <v>0</v>
      </c>
      <c r="C30" s="1" t="s">
        <v>42</v>
      </c>
      <c r="D30" s="1"/>
      <c r="E30" s="1"/>
    </row>
    <row r="31" spans="1:6" ht="48" customHeight="1" x14ac:dyDescent="0.35">
      <c r="A31" s="15" t="s">
        <v>121</v>
      </c>
      <c r="B31" s="15" t="s">
        <v>122</v>
      </c>
      <c r="C31" s="15"/>
      <c r="D31" s="15"/>
      <c r="E31" s="15"/>
      <c r="F31" s="16"/>
    </row>
  </sheetData>
  <dataValidations count="8">
    <dataValidation type="list" allowBlank="1" showInputMessage="1" showErrorMessage="1" sqref="B4" xr:uid="{12BD7ACF-FE16-4BE0-BEA8-54B7D1C67150}">
      <formula1>"Brutto → netto,Netto → brutto"</formula1>
    </dataValidation>
    <dataValidation type="list" allowBlank="1" showInputMessage="1" showErrorMessage="1" sqref="B5" xr:uid="{A388D759-B2DE-48BC-92A8-2C9D6AA30E09}">
      <formula1>"Umowa o pracę (UoP),Umowa zlecenie,Umowa o dzieło,Samozatrudnienie (B2B)"</formula1>
    </dataValidation>
    <dataValidation type="list" allowBlank="1" showInputMessage="1" showErrorMessage="1" sqref="B15 B17 B22" xr:uid="{1611971E-C280-442E-AA4E-4EE0874CB182}">
      <formula1>"Tak,Nie"</formula1>
    </dataValidation>
    <dataValidation type="list" allowBlank="1" showInputMessage="1" showErrorMessage="1" sqref="B16" xr:uid="{75E5EEAA-7025-4E34-930C-35914F87BA65}">
      <formula1>"Pełne ZUS,Tylko zdrowotna,Student &lt;26 (bez ZUS/PIT)"</formula1>
    </dataValidation>
    <dataValidation type="list" allowBlank="1" showInputMessage="1" showErrorMessage="1" sqref="B18" xr:uid="{3D75B1BB-621C-49F8-9AEE-73DE924AD2DA}">
      <formula1>"20%,50%"</formula1>
    </dataValidation>
    <dataValidation type="list" allowBlank="1" showInputMessage="1" showErrorMessage="1" sqref="B19" xr:uid="{D64F4E10-3FE8-4229-911C-BE372780B76C}">
      <formula1>"Skala podatkowa,Podatek liniowy,Ryczałt"</formula1>
    </dataValidation>
    <dataValidation type="list" allowBlank="1" showInputMessage="1" showErrorMessage="1" sqref="B21" xr:uid="{A3F3D2CB-DE0C-4309-B915-2EDA0F1F8BF6}">
      <formula1>"Pełny ZUS,Preferencyjny ZUS,Ulga na start,Niestandardowe"</formula1>
    </dataValidation>
    <dataValidation type="whole" allowBlank="1" showInputMessage="1" showErrorMessage="1" sqref="B7" xr:uid="{AF676726-0754-4F00-8ADF-F63815EABA11}">
      <formula1>1</formula1>
      <formula2>12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EE1B-EBED-43EC-8239-B74AAB197084}">
  <dimension ref="A1:D35"/>
  <sheetViews>
    <sheetView showGridLines="0" workbookViewId="0">
      <pane ySplit="2" topLeftCell="A3" activePane="bottomLeft" state="frozen"/>
      <selection pane="bottomLeft" activeCell="B32" sqref="B32"/>
    </sheetView>
  </sheetViews>
  <sheetFormatPr defaultRowHeight="14.5" x14ac:dyDescent="0.35"/>
  <cols>
    <col min="1" max="1" width="51.81640625" customWidth="1"/>
    <col min="2" max="2" width="20.90625" customWidth="1"/>
    <col min="3" max="3" width="21.81640625" customWidth="1"/>
    <col min="4" max="4" width="47.26953125" customWidth="1"/>
  </cols>
  <sheetData>
    <row r="1" spans="1:4" ht="19.5" x14ac:dyDescent="0.45">
      <c r="A1" s="18" t="s">
        <v>0</v>
      </c>
      <c r="B1" s="18"/>
      <c r="C1" s="18"/>
      <c r="D1" s="18"/>
    </row>
    <row r="2" spans="1:4" x14ac:dyDescent="0.35">
      <c r="A2" s="19" t="s">
        <v>1</v>
      </c>
      <c r="B2" s="19" t="s">
        <v>2</v>
      </c>
      <c r="C2" s="19" t="s">
        <v>3</v>
      </c>
      <c r="D2" s="19" t="s">
        <v>4</v>
      </c>
    </row>
    <row r="3" spans="1:4" x14ac:dyDescent="0.35">
      <c r="A3" s="1" t="s">
        <v>5</v>
      </c>
      <c r="B3" s="20">
        <v>120000</v>
      </c>
      <c r="C3" s="1" t="s">
        <v>6</v>
      </c>
      <c r="D3" s="1" t="s">
        <v>7</v>
      </c>
    </row>
    <row r="4" spans="1:4" x14ac:dyDescent="0.35">
      <c r="A4" s="1" t="s">
        <v>8</v>
      </c>
      <c r="B4" s="20">
        <v>0.12</v>
      </c>
      <c r="C4" s="1" t="s">
        <v>9</v>
      </c>
      <c r="D4" s="1" t="s">
        <v>10</v>
      </c>
    </row>
    <row r="5" spans="1:4" x14ac:dyDescent="0.35">
      <c r="A5" s="1" t="s">
        <v>11</v>
      </c>
      <c r="B5" s="20">
        <v>0.32</v>
      </c>
      <c r="C5" s="1" t="s">
        <v>9</v>
      </c>
      <c r="D5" s="1" t="s">
        <v>12</v>
      </c>
    </row>
    <row r="6" spans="1:4" x14ac:dyDescent="0.35">
      <c r="A6" s="1" t="s">
        <v>13</v>
      </c>
      <c r="B6" s="20">
        <v>3600</v>
      </c>
      <c r="C6" s="1" t="s">
        <v>6</v>
      </c>
      <c r="D6" s="1" t="s">
        <v>14</v>
      </c>
    </row>
    <row r="7" spans="1:4" x14ac:dyDescent="0.35">
      <c r="A7" s="1" t="s">
        <v>15</v>
      </c>
      <c r="B7" s="20">
        <v>0.19</v>
      </c>
      <c r="C7" s="1" t="s">
        <v>9</v>
      </c>
      <c r="D7" s="1" t="s">
        <v>16</v>
      </c>
    </row>
    <row r="8" spans="1:4" x14ac:dyDescent="0.35">
      <c r="A8" s="1" t="s">
        <v>17</v>
      </c>
      <c r="B8" s="20">
        <v>14100</v>
      </c>
      <c r="C8" s="1" t="s">
        <v>6</v>
      </c>
      <c r="D8" s="1" t="s">
        <v>18</v>
      </c>
    </row>
    <row r="9" spans="1:4" x14ac:dyDescent="0.35">
      <c r="A9" s="1" t="s">
        <v>19</v>
      </c>
      <c r="B9" s="20">
        <v>9.7600000000000006E-2</v>
      </c>
      <c r="C9" s="1" t="s">
        <v>9</v>
      </c>
      <c r="D9" s="1" t="s">
        <v>20</v>
      </c>
    </row>
    <row r="10" spans="1:4" x14ac:dyDescent="0.35">
      <c r="A10" s="1" t="s">
        <v>21</v>
      </c>
      <c r="B10" s="20">
        <v>1.4999999999999999E-2</v>
      </c>
      <c r="C10" s="1" t="s">
        <v>9</v>
      </c>
      <c r="D10" s="1" t="s">
        <v>20</v>
      </c>
    </row>
    <row r="11" spans="1:4" x14ac:dyDescent="0.35">
      <c r="A11" s="1" t="s">
        <v>22</v>
      </c>
      <c r="B11" s="20">
        <v>2.4500000000000001E-2</v>
      </c>
      <c r="C11" s="1" t="s">
        <v>9</v>
      </c>
      <c r="D11" s="1" t="s">
        <v>23</v>
      </c>
    </row>
    <row r="12" spans="1:4" x14ac:dyDescent="0.35">
      <c r="A12" s="1" t="s">
        <v>24</v>
      </c>
      <c r="B12" s="20">
        <v>0.09</v>
      </c>
      <c r="C12" s="1" t="s">
        <v>9</v>
      </c>
      <c r="D12" s="1" t="s">
        <v>25</v>
      </c>
    </row>
    <row r="13" spans="1:4" x14ac:dyDescent="0.35">
      <c r="A13" s="1" t="s">
        <v>26</v>
      </c>
      <c r="B13" s="20">
        <v>9.7600000000000006E-2</v>
      </c>
      <c r="C13" s="1" t="s">
        <v>9</v>
      </c>
      <c r="D13" s="1" t="s">
        <v>20</v>
      </c>
    </row>
    <row r="14" spans="1:4" x14ac:dyDescent="0.35">
      <c r="A14" s="1" t="s">
        <v>27</v>
      </c>
      <c r="B14" s="20">
        <v>6.5000000000000002E-2</v>
      </c>
      <c r="C14" s="1" t="s">
        <v>9</v>
      </c>
      <c r="D14" s="1" t="s">
        <v>20</v>
      </c>
    </row>
    <row r="15" spans="1:4" x14ac:dyDescent="0.35">
      <c r="A15" s="1" t="s">
        <v>28</v>
      </c>
      <c r="B15" s="20">
        <v>1.67E-2</v>
      </c>
      <c r="C15" s="1" t="s">
        <v>9</v>
      </c>
      <c r="D15" s="1" t="s">
        <v>29</v>
      </c>
    </row>
    <row r="16" spans="1:4" x14ac:dyDescent="0.35">
      <c r="A16" s="1" t="s">
        <v>30</v>
      </c>
      <c r="B16" s="20">
        <v>2.4500000000000001E-2</v>
      </c>
      <c r="C16" s="1" t="s">
        <v>9</v>
      </c>
      <c r="D16" s="1" t="s">
        <v>31</v>
      </c>
    </row>
    <row r="17" spans="1:4" x14ac:dyDescent="0.35">
      <c r="A17" s="1" t="s">
        <v>32</v>
      </c>
      <c r="B17" s="20">
        <v>1E-3</v>
      </c>
      <c r="C17" s="1" t="s">
        <v>9</v>
      </c>
      <c r="D17" s="1" t="s">
        <v>33</v>
      </c>
    </row>
    <row r="18" spans="1:4" x14ac:dyDescent="0.35">
      <c r="A18" s="1" t="s">
        <v>34</v>
      </c>
      <c r="B18" s="20">
        <v>0.02</v>
      </c>
      <c r="C18" s="1" t="s">
        <v>9</v>
      </c>
      <c r="D18" s="1" t="s">
        <v>35</v>
      </c>
    </row>
    <row r="19" spans="1:4" x14ac:dyDescent="0.35">
      <c r="A19" s="1" t="s">
        <v>36</v>
      </c>
      <c r="B19" s="20">
        <v>1.4999999999999999E-2</v>
      </c>
      <c r="C19" s="1" t="s">
        <v>9</v>
      </c>
      <c r="D19" s="1" t="s">
        <v>37</v>
      </c>
    </row>
    <row r="20" spans="1:4" x14ac:dyDescent="0.35">
      <c r="A20" s="1" t="s">
        <v>38</v>
      </c>
      <c r="B20" s="20">
        <v>4806</v>
      </c>
      <c r="C20" s="1" t="s">
        <v>39</v>
      </c>
      <c r="D20" s="1" t="s">
        <v>40</v>
      </c>
    </row>
    <row r="21" spans="1:4" x14ac:dyDescent="0.35">
      <c r="A21" s="1" t="s">
        <v>41</v>
      </c>
      <c r="B21" s="20">
        <v>314.95999999999998</v>
      </c>
      <c r="C21" s="1" t="s">
        <v>42</v>
      </c>
      <c r="D21" s="1" t="s">
        <v>43</v>
      </c>
    </row>
    <row r="22" spans="1:4" x14ac:dyDescent="0.35">
      <c r="A22" s="1" t="s">
        <v>44</v>
      </c>
      <c r="B22" s="20">
        <v>432.54</v>
      </c>
      <c r="C22" s="1" t="s">
        <v>42</v>
      </c>
      <c r="D22" s="1" t="s">
        <v>43</v>
      </c>
    </row>
    <row r="23" spans="1:4" x14ac:dyDescent="0.35">
      <c r="A23" s="1" t="s">
        <v>45</v>
      </c>
      <c r="B23" s="20">
        <v>1788.29</v>
      </c>
      <c r="C23" s="1" t="s">
        <v>39</v>
      </c>
      <c r="D23" s="1" t="s">
        <v>46</v>
      </c>
    </row>
    <row r="24" spans="1:4" x14ac:dyDescent="0.35">
      <c r="A24" s="1" t="s">
        <v>47</v>
      </c>
      <c r="B24" s="20">
        <v>1926.76</v>
      </c>
      <c r="C24" s="1" t="s">
        <v>39</v>
      </c>
      <c r="D24" s="1" t="s">
        <v>46</v>
      </c>
    </row>
    <row r="25" spans="1:4" x14ac:dyDescent="0.35">
      <c r="A25" s="1" t="s">
        <v>48</v>
      </c>
      <c r="B25" s="20">
        <v>420.86</v>
      </c>
      <c r="C25" s="1" t="s">
        <v>39</v>
      </c>
      <c r="D25" s="1" t="s">
        <v>49</v>
      </c>
    </row>
    <row r="26" spans="1:4" x14ac:dyDescent="0.35">
      <c r="A26" s="1" t="s">
        <v>50</v>
      </c>
      <c r="B26" s="20">
        <v>456.18</v>
      </c>
      <c r="C26" s="1" t="s">
        <v>39</v>
      </c>
      <c r="D26" s="1" t="s">
        <v>49</v>
      </c>
    </row>
    <row r="27" spans="1:4" x14ac:dyDescent="0.35">
      <c r="A27" s="1" t="s">
        <v>51</v>
      </c>
      <c r="B27" s="20">
        <v>498.35</v>
      </c>
      <c r="C27" s="1" t="s">
        <v>39</v>
      </c>
      <c r="D27" s="1" t="s">
        <v>52</v>
      </c>
    </row>
    <row r="28" spans="1:4" x14ac:dyDescent="0.35">
      <c r="A28" s="1" t="s">
        <v>53</v>
      </c>
      <c r="B28" s="20">
        <v>830.58</v>
      </c>
      <c r="C28" s="1" t="s">
        <v>39</v>
      </c>
      <c r="D28" s="1" t="s">
        <v>54</v>
      </c>
    </row>
    <row r="29" spans="1:4" x14ac:dyDescent="0.35">
      <c r="A29" s="1" t="s">
        <v>55</v>
      </c>
      <c r="B29" s="20">
        <v>1495.04</v>
      </c>
      <c r="C29" s="1" t="s">
        <v>39</v>
      </c>
      <c r="D29" s="1" t="s">
        <v>56</v>
      </c>
    </row>
    <row r="30" spans="1:4" x14ac:dyDescent="0.35">
      <c r="A30" s="1" t="s">
        <v>57</v>
      </c>
      <c r="B30" s="20">
        <v>250</v>
      </c>
      <c r="C30" s="1" t="s">
        <v>39</v>
      </c>
      <c r="D30" s="1" t="s">
        <v>58</v>
      </c>
    </row>
    <row r="31" spans="1:4" x14ac:dyDescent="0.35">
      <c r="A31" s="1" t="s">
        <v>59</v>
      </c>
      <c r="B31" s="20">
        <v>300</v>
      </c>
      <c r="C31" s="1" t="s">
        <v>39</v>
      </c>
      <c r="D31" s="1" t="s">
        <v>60</v>
      </c>
    </row>
    <row r="32" spans="1:4" x14ac:dyDescent="0.35">
      <c r="A32" s="1" t="s">
        <v>61</v>
      </c>
      <c r="B32" s="20">
        <v>0.2</v>
      </c>
      <c r="C32" s="1" t="s">
        <v>9</v>
      </c>
      <c r="D32" s="1" t="s">
        <v>62</v>
      </c>
    </row>
    <row r="33" spans="1:4" x14ac:dyDescent="0.35">
      <c r="A33" s="1" t="s">
        <v>63</v>
      </c>
      <c r="B33" s="20">
        <v>0.5</v>
      </c>
      <c r="C33" s="1" t="s">
        <v>9</v>
      </c>
      <c r="D33" s="1" t="s">
        <v>64</v>
      </c>
    </row>
    <row r="34" spans="1:4" x14ac:dyDescent="0.35">
      <c r="A34" s="1" t="s">
        <v>65</v>
      </c>
      <c r="B34" s="20">
        <v>0</v>
      </c>
      <c r="C34" s="1" t="s">
        <v>66</v>
      </c>
      <c r="D34" s="1" t="s">
        <v>67</v>
      </c>
    </row>
    <row r="35" spans="1:4" x14ac:dyDescent="0.35">
      <c r="A35" t="s">
        <v>209</v>
      </c>
      <c r="B35" s="26">
        <v>282600</v>
      </c>
      <c r="C35" t="s">
        <v>6</v>
      </c>
      <c r="D35" t="s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C9CE-F516-4CA1-8F54-6D47DD7CAAAE}">
  <dimension ref="A1:S73"/>
  <sheetViews>
    <sheetView showGridLines="0" workbookViewId="0"/>
  </sheetViews>
  <sheetFormatPr defaultRowHeight="14.5" x14ac:dyDescent="0.35"/>
  <sheetData>
    <row r="1" spans="1:19" x14ac:dyDescent="0.35">
      <c r="A1" s="1" t="s">
        <v>123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1" t="s">
        <v>124</v>
      </c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1" t="s">
        <v>74</v>
      </c>
      <c r="B3" s="1">
        <f>D73</f>
        <v>10000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1" t="s">
        <v>19</v>
      </c>
      <c r="B4" s="1">
        <f>F73</f>
        <v>976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35">
      <c r="A5" s="1" t="s">
        <v>21</v>
      </c>
      <c r="B5" s="1">
        <f>G73</f>
        <v>150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35">
      <c r="A6" s="1" t="s">
        <v>22</v>
      </c>
      <c r="B6" s="1">
        <f>H73</f>
        <v>245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35">
      <c r="A7" s="1" t="s">
        <v>77</v>
      </c>
      <c r="B7" s="1">
        <f>I73</f>
        <v>1371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35">
      <c r="A8" s="1" t="s">
        <v>125</v>
      </c>
      <c r="B8" s="1">
        <f>IF(OR(Kalkulator!B5="Umowa o pracę (UoP)",Kalkulator!B5="Umowa zlecenie"),B3-B7,0)</f>
        <v>8629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35">
      <c r="A9" s="1" t="s">
        <v>85</v>
      </c>
      <c r="B9" s="1">
        <f>J73</f>
        <v>776.61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35">
      <c r="A10" s="1" t="s">
        <v>87</v>
      </c>
      <c r="B10" s="1">
        <f>K73</f>
        <v>200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35">
      <c r="A11" s="1" t="s">
        <v>93</v>
      </c>
      <c r="B11" s="1">
        <f>L73</f>
        <v>150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35">
      <c r="A12" s="1" t="s">
        <v>126</v>
      </c>
      <c r="B12" s="1">
        <f>M73</f>
        <v>250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35">
      <c r="A13" s="1" t="s">
        <v>127</v>
      </c>
      <c r="B13" s="1">
        <f>N73</f>
        <v>8529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35">
      <c r="A14" s="1" t="s">
        <v>128</v>
      </c>
      <c r="B14" s="1">
        <f>IF(Kalkulator!B5="Samozatrudnienie (B2B)",S73,O73)</f>
        <v>723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35">
      <c r="A15" s="1" t="s">
        <v>129</v>
      </c>
      <c r="B15" s="1">
        <f>E73</f>
        <v>6929.39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35">
      <c r="A16" s="1" t="s">
        <v>26</v>
      </c>
      <c r="B16" s="1">
        <f>F73</f>
        <v>976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35">
      <c r="A17" s="1" t="s">
        <v>27</v>
      </c>
      <c r="B17" s="1">
        <f>ROUND(IF(OR(Kalkulator!B5="Umowa o pracę (UoP)",AND(Kalkulator!B5="Umowa zlecenie",Kalkulator!B16="Pełne ZUS")),MAX(0,MIN(B3,'Założenia 2026'!B35-Kalkulator!B30))*'Założenia 2026'!B14,0),2)</f>
        <v>650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35">
      <c r="A18" s="1" t="s">
        <v>28</v>
      </c>
      <c r="B18" s="1">
        <f>ROUND(IF(OR(Kalkulator!B5="Umowa o pracę (UoP)",AND(Kalkulator!B5="Umowa zlecenie",Kalkulator!B16="Pełne ZUS")),B3*'Założenia 2026'!B15,0),2)</f>
        <v>167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35">
      <c r="A19" s="1" t="s">
        <v>130</v>
      </c>
      <c r="B19" s="1">
        <f>ROUND(IF(OR(Kalkulator!B5="Umowa o pracę (UoP)",AND(Kalkulator!B5="Umowa zlecenie",Kalkulator!B16="Pełne ZUS")),B3*'Założenia 2026'!B16,0),2)</f>
        <v>245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35">
      <c r="A20" s="1" t="s">
        <v>32</v>
      </c>
      <c r="B20" s="1">
        <f>ROUND(IF(OR(Kalkulator!B5="Umowa o pracę (UoP)",AND(Kalkulator!B5="Umowa zlecenie",Kalkulator!B16="Pełne ZUS")),B3*'Założenia 2026'!B17,0),2)</f>
        <v>10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35">
      <c r="A21" s="1" t="s">
        <v>131</v>
      </c>
      <c r="B21" s="1">
        <f>SUM(B16:B20)</f>
        <v>2048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35">
      <c r="A22" s="1" t="s">
        <v>132</v>
      </c>
      <c r="B22" s="1">
        <f>IF(Kalkulator!B5="Samozatrudnienie (B2B)",B3,B3+B21+B11)</f>
        <v>12198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35">
      <c r="A23" s="1" t="s">
        <v>133</v>
      </c>
      <c r="B23" s="1">
        <f>IF(Kalkulator!B5="Samozatrudnienie (B2B)",Kalkulator!B20,0)</f>
        <v>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35">
      <c r="A24" s="1" t="s">
        <v>134</v>
      </c>
      <c r="B24" s="1">
        <f>P73</f>
        <v>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35">
      <c r="A25" s="1" t="s">
        <v>135</v>
      </c>
      <c r="B25" s="1">
        <f>Q73</f>
        <v>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35">
      <c r="A26" s="1" t="s">
        <v>136</v>
      </c>
      <c r="B26" s="1">
        <f>S73</f>
        <v>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35">
      <c r="A27" s="1" t="s">
        <v>137</v>
      </c>
      <c r="B27" s="1">
        <f>R73</f>
        <v>9000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35">
      <c r="A28" s="1" t="s">
        <v>138</v>
      </c>
      <c r="B28" s="1">
        <f>IF(Kalkulator!B4="Netto → brutto",B15-Kalkulator!B6,0)</f>
        <v>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35">
      <c r="A35" s="1" t="s">
        <v>139</v>
      </c>
      <c r="B35" s="1" t="s">
        <v>140</v>
      </c>
      <c r="C35" s="1" t="s">
        <v>141</v>
      </c>
      <c r="D35" s="1" t="s">
        <v>142</v>
      </c>
      <c r="E35" s="1" t="s">
        <v>143</v>
      </c>
      <c r="F35" s="1" t="s">
        <v>144</v>
      </c>
      <c r="G35" s="1" t="s">
        <v>145</v>
      </c>
      <c r="H35" s="1" t="s">
        <v>146</v>
      </c>
      <c r="I35" s="1" t="s">
        <v>147</v>
      </c>
      <c r="J35" s="1" t="s">
        <v>24</v>
      </c>
      <c r="K35" s="1" t="s">
        <v>148</v>
      </c>
      <c r="L35" s="1" t="s">
        <v>149</v>
      </c>
      <c r="M35" s="1" t="s">
        <v>126</v>
      </c>
      <c r="N35" s="1" t="s">
        <v>150</v>
      </c>
      <c r="O35" s="1" t="s">
        <v>151</v>
      </c>
      <c r="P35" s="1" t="s">
        <v>152</v>
      </c>
      <c r="Q35" s="1" t="s">
        <v>135</v>
      </c>
      <c r="R35" s="1" t="s">
        <v>153</v>
      </c>
      <c r="S35" s="1" t="s">
        <v>154</v>
      </c>
    </row>
    <row r="36" spans="1:19" x14ac:dyDescent="0.35">
      <c r="A36" s="1">
        <v>0</v>
      </c>
      <c r="B36" s="1">
        <f>0</f>
        <v>0</v>
      </c>
      <c r="C36" s="1">
        <f>MAX(10000,Kalkulator!$B$6*4+10000)</f>
        <v>50000</v>
      </c>
      <c r="D36" s="1">
        <f>(B36+C36)/2</f>
        <v>25000</v>
      </c>
      <c r="E36" s="1">
        <f>IF(Kalkulator!$B$5="Samozatrudnienie (B2B)",D36-Kalkulator!$B$20-P36-Q36-S36,D36-I36-J36-K36-O36)</f>
        <v>16826.97</v>
      </c>
      <c r="F36" s="1">
        <f>ROUND(IF(OR(Kalkulator!$B$5="Umowa o pracę (UoP)",AND(Kalkulator!$B$5="Umowa zlecenie",Kalkulator!$B$16="Pełne ZUS")),MAX(0,MIN(D36,'Założenia 2026'!$B$35-Kalkulator!$B$30))*'Założenia 2026'!$B$9,0),2)</f>
        <v>2440</v>
      </c>
      <c r="G36" s="1">
        <f>ROUND(IF(OR(Kalkulator!$B$5="Umowa o pracę (UoP)",AND(Kalkulator!$B$5="Umowa zlecenie",Kalkulator!$B$16="Pełne ZUS")),MAX(0,MIN(D36,'Założenia 2026'!$B$35-Kalkulator!$B$30))*'Założenia 2026'!$B$10,0),2)</f>
        <v>375</v>
      </c>
      <c r="H36" s="1">
        <f>ROUND(IF(OR(Kalkulator!$B$5="Umowa o pracę (UoP)",AND(Kalkulator!$B$5="Umowa zlecenie",Kalkulator!$B$16="Pełne ZUS",Kalkulator!$B$17="Tak")),D36*'Założenia 2026'!$B$11,0),2)</f>
        <v>612.5</v>
      </c>
      <c r="I36" s="1">
        <f>SUM(F36:H36)</f>
        <v>3427.5</v>
      </c>
      <c r="J36" s="1">
        <f>ROUND(IF(AND(Kalkulator!$B$5="Umowa zlecenie",Kalkulator!$B$16="Student &lt;26 (bez ZUS/PIT)"),0,IF(OR(Kalkulator!$B$5="Umowa o pracę (UoP)",Kalkulator!$B$5="Umowa zlecenie"),(D36-I36)*'Założenia 2026'!$B$12,0)),2)</f>
        <v>1941.53</v>
      </c>
      <c r="K36" s="1">
        <f>ROUND(IF(AND(Kalkulator!$B$15="Tak",OR(Kalkulator!$B$5="Umowa o pracę (UoP)",AND(Kalkulator!$B$5="Umowa zlecenie",Kalkulator!$B$16="Pełne ZUS"))),D36*Kalkulator!$B$13,0),2)</f>
        <v>500</v>
      </c>
      <c r="L36" s="1">
        <f>ROUND(IF(AND(Kalkulator!$B$15="Tak",OR(Kalkulator!$B$5="Umowa o pracę (UoP)",AND(Kalkulator!$B$5="Umowa zlecenie",Kalkulator!$B$16="Pełne ZUS"))),D36*Kalkulator!$B$14,0),2)</f>
        <v>375</v>
      </c>
      <c r="M36" s="1">
        <f>IF(Kalkulator!$B$5="Umowa o pracę (UoP)",Kalkulator!$B$10,IF(Kalkulator!$B$5="Umowa zlecenie",(D36-I36)*'Założenia 2026'!$B$32,IF(Kalkulator!$B$5="Umowa o dzieło",D36*Kalkulator!$B$18,0)))</f>
        <v>250</v>
      </c>
      <c r="N36" s="1">
        <f>MAX(0,ROUND(IF(OR(Kalkulator!$B$5="Umowa o pracę (UoP)",Kalkulator!$B$5="Umowa zlecenie"),D36-I36-M36+L36,IF(Kalkulator!$B$5="Umowa o dzieło",D36-M36,0)),0))</f>
        <v>21698</v>
      </c>
      <c r="O36" s="1">
        <f>IF(AND(Kalkulator!$B$5="Umowa zlecenie",Kalkulator!$B$16="Student &lt;26 (bez ZUS/PIT)"),0,MAX(0,ROUND(IF(Kalkulator!$B$12+N36&lt;='Założenia 2026'!$B$3,(Kalkulator!$B$12+N36)*'Założenia 2026'!$B$4,'Założenia 2026'!$B$3*'Założenia 2026'!$B$4+(Kalkulator!$B$12+N36-'Założenia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2304</v>
      </c>
      <c r="P36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36" s="1">
        <f>IF(Kalkulator!$B$5&lt;&gt;"Samozatrudnienie (B2B)",0,IF(Kalkulator!$B$19="Ryczałt",IF(Kalkulator!$B$25+D36&lt;=60000,'Założenia 2026'!$B$27,IF(Kalkulator!$B$25+D36&lt;=300000,'Założenia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36" s="1">
        <f>MAX(0,D36-Kalkulator!$B$20-P36)</f>
        <v>24000</v>
      </c>
      <c r="S36" s="1">
        <f>IF(Kalkulator!$B$5&lt;&gt;"Samozatrudnienie (B2B)",0,IF(Kalkulator!$B$19="Skala podatkowa",MAX(0,ROUND(MAX(0,IF(Kalkulator!$B$24+R36&lt;='Założenia 2026'!$B$3,(Kalkulator!$B$24+R36)*'Założenia 2026'!$B$4,'Założenia 2026'!$B$3*'Założenia 2026'!$B$4+(Kalkulator!$B$24+R36-'Założenia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liniowy",MAX(0,ROUND(MAX(0,R36-MIN(Q36,MAX(0,'Założenia 2026'!$B$8-Kalkulator!$B$29)))*'Założenia 2026'!$B$7,0)),MAX(0,ROUND(MAX(0,D36-P36-0.5*Q36)*Kalkulator!$B$23,0)))))</f>
        <v>0</v>
      </c>
    </row>
    <row r="37" spans="1:19" x14ac:dyDescent="0.35">
      <c r="A37" s="1">
        <v>1</v>
      </c>
      <c r="B37" s="1">
        <f>IF(E36&lt;Kalkulator!$B$6,D36,B36)</f>
        <v>0</v>
      </c>
      <c r="C37" s="1">
        <f>IF(E36&gt;=Kalkulator!$B$6,D36,C36)</f>
        <v>25000</v>
      </c>
      <c r="D37" s="1">
        <f>(B37+C37)/2</f>
        <v>12500</v>
      </c>
      <c r="E37" s="1">
        <f>IF(Kalkulator!$B$5="Samozatrudnienie (B2B)",D37-Kalkulator!$B$20-P37-Q37-S37,D37-I37-J37-K37-O37)</f>
        <v>8578.49</v>
      </c>
      <c r="F37" s="1">
        <f>ROUND(IF(OR(Kalkulator!$B$5="Umowa o pracę (UoP)",AND(Kalkulator!$B$5="Umowa zlecenie",Kalkulator!$B$16="Pełne ZUS")),MAX(0,MIN(D37,'Założenia 2026'!$B$35-Kalkulator!$B$30))*'Założenia 2026'!$B$9,0),2)</f>
        <v>1220</v>
      </c>
      <c r="G37" s="1">
        <f>ROUND(IF(OR(Kalkulator!$B$5="Umowa o pracę (UoP)",AND(Kalkulator!$B$5="Umowa zlecenie",Kalkulator!$B$16="Pełne ZUS")),MAX(0,MIN(D37,'Założenia 2026'!$B$35-Kalkulator!$B$30))*'Założenia 2026'!$B$10,0),2)</f>
        <v>187.5</v>
      </c>
      <c r="H37" s="1">
        <f>ROUND(IF(OR(Kalkulator!$B$5="Umowa o pracę (UoP)",AND(Kalkulator!$B$5="Umowa zlecenie",Kalkulator!$B$16="Pełne ZUS",Kalkulator!$B$17="Tak")),D37*'Założenia 2026'!$B$11,0),2)</f>
        <v>306.25</v>
      </c>
      <c r="I37" s="1">
        <f t="shared" ref="I37:I71" si="0">SUM(F37:H37)</f>
        <v>1713.75</v>
      </c>
      <c r="J37" s="1">
        <f>ROUND(IF(AND(Kalkulator!$B$5="Umowa zlecenie",Kalkulator!$B$16="Student &lt;26 (bez ZUS/PIT)"),0,IF(OR(Kalkulator!$B$5="Umowa o pracę (UoP)",Kalkulator!$B$5="Umowa zlecenie"),(D37-I37)*'Założenia 2026'!$B$12,0)),2)</f>
        <v>970.76</v>
      </c>
      <c r="K37" s="1">
        <f>ROUND(IF(AND(Kalkulator!$B$15="Tak",OR(Kalkulator!$B$5="Umowa o pracę (UoP)",AND(Kalkulator!$B$5="Umowa zlecenie",Kalkulator!$B$16="Pełne ZUS"))),D37*Kalkulator!$B$13,0),2)</f>
        <v>250</v>
      </c>
      <c r="L37" s="1">
        <f>ROUND(IF(AND(Kalkulator!$B$15="Tak",OR(Kalkulator!$B$5="Umowa o pracę (UoP)",AND(Kalkulator!$B$5="Umowa zlecenie",Kalkulator!$B$16="Pełne ZUS"))),D37*Kalkulator!$B$14,0),2)</f>
        <v>187.5</v>
      </c>
      <c r="M37" s="1">
        <f>IF(Kalkulator!$B$5="Umowa o pracę (UoP)",Kalkulator!$B$10,IF(Kalkulator!$B$5="Umowa zlecenie",(D37-I37)*'Założenia 2026'!$B$32,IF(Kalkulator!$B$5="Umowa o dzieło",D37*Kalkulator!$B$18,0)))</f>
        <v>250</v>
      </c>
      <c r="N37" s="1">
        <f>MAX(0,ROUND(IF(OR(Kalkulator!$B$5="Umowa o pracę (UoP)",Kalkulator!$B$5="Umowa zlecenie"),D37-I37-M37+L37,IF(Kalkulator!$B$5="Umowa o dzieło",D37-M37,0)),0))</f>
        <v>10724</v>
      </c>
      <c r="O37" s="1">
        <f>IF(AND(Kalkulator!$B$5="Umowa zlecenie",Kalkulator!$B$16="Student &lt;26 (bez ZUS/PIT)"),0,MAX(0,ROUND(IF(Kalkulator!$B$12+N37&lt;='Założenia 2026'!$B$3,(Kalkulator!$B$12+N37)*'Założenia 2026'!$B$4,'Założenia 2026'!$B$3*'Założenia 2026'!$B$4+(Kalkulator!$B$12+N37-'Założenia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987</v>
      </c>
      <c r="P37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37" s="1">
        <f>IF(Kalkulator!$B$5&lt;&gt;"Samozatrudnienie (B2B)",0,IF(Kalkulator!$B$19="Ryczałt",IF(Kalkulator!$B$25+D37&lt;=60000,'Założenia 2026'!$B$27,IF(Kalkulator!$B$25+D37&lt;=300000,'Założenia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37" s="1">
        <f>MAX(0,D37-Kalkulator!$B$20-P37)</f>
        <v>11500</v>
      </c>
      <c r="S37" s="1">
        <f>IF(Kalkulator!$B$5&lt;&gt;"Samozatrudnienie (B2B)",0,IF(Kalkulator!$B$19="Skala podatkowa",MAX(0,ROUND(MAX(0,IF(Kalkulator!$B$24+R37&lt;='Założenia 2026'!$B$3,(Kalkulator!$B$24+R37)*'Założenia 2026'!$B$4,'Założenia 2026'!$B$3*'Założenia 2026'!$B$4+(Kalkulator!$B$24+R37-'Założenia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liniowy",MAX(0,ROUND(MAX(0,R37-MIN(Q37,MAX(0,'Założenia 2026'!$B$8-Kalkulator!$B$29)))*'Założenia 2026'!$B$7,0)),MAX(0,ROUND(MAX(0,D37-P37-0.5*Q37)*Kalkulator!$B$23,0)))))</f>
        <v>0</v>
      </c>
    </row>
    <row r="38" spans="1:19" x14ac:dyDescent="0.35">
      <c r="A38" s="1">
        <v>2</v>
      </c>
      <c r="B38" s="1">
        <f>IF(E37&lt;Kalkulator!$B$6,D37,B37)</f>
        <v>12500</v>
      </c>
      <c r="C38" s="1">
        <f>IF(E37&gt;=Kalkulator!$B$6,D37,C37)</f>
        <v>25000</v>
      </c>
      <c r="D38" s="1">
        <f t="shared" ref="D38:D71" si="1">(B38+C38)/2</f>
        <v>18750</v>
      </c>
      <c r="E38" s="1">
        <f>IF(Kalkulator!$B$5="Samozatrudnienie (B2B)",D38-Kalkulator!$B$20-P38-Q38-S38,D38-I38-J38-K38-O38)</f>
        <v>12703.23</v>
      </c>
      <c r="F38" s="1">
        <f>ROUND(IF(OR(Kalkulator!$B$5="Umowa o pracę (UoP)",AND(Kalkulator!$B$5="Umowa zlecenie",Kalkulator!$B$16="Pełne ZUS")),MAX(0,MIN(D38,'Założenia 2026'!$B$35-Kalkulator!$B$30))*'Założenia 2026'!$B$9,0),2)</f>
        <v>1830</v>
      </c>
      <c r="G38" s="1">
        <f>ROUND(IF(OR(Kalkulator!$B$5="Umowa o pracę (UoP)",AND(Kalkulator!$B$5="Umowa zlecenie",Kalkulator!$B$16="Pełne ZUS")),MAX(0,MIN(D38,'Założenia 2026'!$B$35-Kalkulator!$B$30))*'Założenia 2026'!$B$10,0),2)</f>
        <v>281.25</v>
      </c>
      <c r="H38" s="1">
        <f>ROUND(IF(OR(Kalkulator!$B$5="Umowa o pracę (UoP)",AND(Kalkulator!$B$5="Umowa zlecenie",Kalkulator!$B$16="Pełne ZUS",Kalkulator!$B$17="Tak")),D38*'Założenia 2026'!$B$11,0),2)</f>
        <v>459.38</v>
      </c>
      <c r="I38" s="1">
        <f t="shared" si="0"/>
        <v>2570.63</v>
      </c>
      <c r="J38" s="1">
        <f>ROUND(IF(AND(Kalkulator!$B$5="Umowa zlecenie",Kalkulator!$B$16="Student &lt;26 (bez ZUS/PIT)"),0,IF(OR(Kalkulator!$B$5="Umowa o pracę (UoP)",Kalkulator!$B$5="Umowa zlecenie"),(D38-I38)*'Założenia 2026'!$B$12,0)),2)</f>
        <v>1456.14</v>
      </c>
      <c r="K38" s="1">
        <f>ROUND(IF(AND(Kalkulator!$B$15="Tak",OR(Kalkulator!$B$5="Umowa o pracę (UoP)",AND(Kalkulator!$B$5="Umowa zlecenie",Kalkulator!$B$16="Pełne ZUS"))),D38*Kalkulator!$B$13,0),2)</f>
        <v>375</v>
      </c>
      <c r="L38" s="1">
        <f>ROUND(IF(AND(Kalkulator!$B$15="Tak",OR(Kalkulator!$B$5="Umowa o pracę (UoP)",AND(Kalkulator!$B$5="Umowa zlecenie",Kalkulator!$B$16="Pełne ZUS"))),D38*Kalkulator!$B$14,0),2)</f>
        <v>281.25</v>
      </c>
      <c r="M38" s="1">
        <f>IF(Kalkulator!$B$5="Umowa o pracę (UoP)",Kalkulator!$B$10,IF(Kalkulator!$B$5="Umowa zlecenie",(D38-I38)*'Założenia 2026'!$B$32,IF(Kalkulator!$B$5="Umowa o dzieło",D38*Kalkulator!$B$18,0)))</f>
        <v>250</v>
      </c>
      <c r="N38" s="1">
        <f>MAX(0,ROUND(IF(OR(Kalkulator!$B$5="Umowa o pracę (UoP)",Kalkulator!$B$5="Umowa zlecenie"),D38-I38-M38+L38,IF(Kalkulator!$B$5="Umowa o dzieło",D38-M38,0)),0))</f>
        <v>16211</v>
      </c>
      <c r="O38" s="1">
        <f>IF(AND(Kalkulator!$B$5="Umowa zlecenie",Kalkulator!$B$16="Student &lt;26 (bez ZUS/PIT)"),0,MAX(0,ROUND(IF(Kalkulator!$B$12+N38&lt;='Założenia 2026'!$B$3,(Kalkulator!$B$12+N38)*'Założenia 2026'!$B$4,'Założenia 2026'!$B$3*'Założenia 2026'!$B$4+(Kalkulator!$B$12+N38-'Założenia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1645</v>
      </c>
      <c r="P38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38" s="1">
        <f>IF(Kalkulator!$B$5&lt;&gt;"Samozatrudnienie (B2B)",0,IF(Kalkulator!$B$19="Ryczałt",IF(Kalkulator!$B$25+D38&lt;=60000,'Założenia 2026'!$B$27,IF(Kalkulator!$B$25+D38&lt;=300000,'Założenia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38" s="1">
        <f>MAX(0,D38-Kalkulator!$B$20-P38)</f>
        <v>17750</v>
      </c>
      <c r="S38" s="1">
        <f>IF(Kalkulator!$B$5&lt;&gt;"Samozatrudnienie (B2B)",0,IF(Kalkulator!$B$19="Skala podatkowa",MAX(0,ROUND(MAX(0,IF(Kalkulator!$B$24+R38&lt;='Założenia 2026'!$B$3,(Kalkulator!$B$24+R38)*'Założenia 2026'!$B$4,'Założenia 2026'!$B$3*'Założenia 2026'!$B$4+(Kalkulator!$B$24+R38-'Założenia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liniowy",MAX(0,ROUND(MAX(0,R38-MIN(Q38,MAX(0,'Założenia 2026'!$B$8-Kalkulator!$B$29)))*'Założenia 2026'!$B$7,0)),MAX(0,ROUND(MAX(0,D38-P38-0.5*Q38)*Kalkulator!$B$23,0)))))</f>
        <v>0</v>
      </c>
    </row>
    <row r="39" spans="1:19" x14ac:dyDescent="0.35">
      <c r="A39" s="1">
        <v>3</v>
      </c>
      <c r="B39" s="1">
        <f>IF(E38&lt;Kalkulator!$B$6,D38,B38)</f>
        <v>12500</v>
      </c>
      <c r="C39" s="1">
        <f>IF(E38&gt;=Kalkulator!$B$6,D38,C38)</f>
        <v>18750</v>
      </c>
      <c r="D39" s="1">
        <f t="shared" si="1"/>
        <v>15625</v>
      </c>
      <c r="E39" s="1">
        <f>IF(Kalkulator!$B$5="Samozatrudnienie (B2B)",D39-Kalkulator!$B$20-P39-Q39-S39,D39-I39-J39-K39-O39)</f>
        <v>10640.859999999999</v>
      </c>
      <c r="F39" s="1">
        <f>ROUND(IF(OR(Kalkulator!$B$5="Umowa o pracę (UoP)",AND(Kalkulator!$B$5="Umowa zlecenie",Kalkulator!$B$16="Pełne ZUS")),MAX(0,MIN(D39,'Założenia 2026'!$B$35-Kalkulator!$B$30))*'Założenia 2026'!$B$9,0),2)</f>
        <v>1525</v>
      </c>
      <c r="G39" s="1">
        <f>ROUND(IF(OR(Kalkulator!$B$5="Umowa o pracę (UoP)",AND(Kalkulator!$B$5="Umowa zlecenie",Kalkulator!$B$16="Pełne ZUS")),MAX(0,MIN(D39,'Założenia 2026'!$B$35-Kalkulator!$B$30))*'Założenia 2026'!$B$10,0),2)</f>
        <v>234.38</v>
      </c>
      <c r="H39" s="1">
        <f>ROUND(IF(OR(Kalkulator!$B$5="Umowa o pracę (UoP)",AND(Kalkulator!$B$5="Umowa zlecenie",Kalkulator!$B$16="Pełne ZUS",Kalkulator!$B$17="Tak")),D39*'Założenia 2026'!$B$11,0),2)</f>
        <v>382.81</v>
      </c>
      <c r="I39" s="1">
        <f t="shared" si="0"/>
        <v>2142.19</v>
      </c>
      <c r="J39" s="1">
        <f>ROUND(IF(AND(Kalkulator!$B$5="Umowa zlecenie",Kalkulator!$B$16="Student &lt;26 (bez ZUS/PIT)"),0,IF(OR(Kalkulator!$B$5="Umowa o pracę (UoP)",Kalkulator!$B$5="Umowa zlecenie"),(D39-I39)*'Założenia 2026'!$B$12,0)),2)</f>
        <v>1213.45</v>
      </c>
      <c r="K39" s="1">
        <f>ROUND(IF(AND(Kalkulator!$B$15="Tak",OR(Kalkulator!$B$5="Umowa o pracę (UoP)",AND(Kalkulator!$B$5="Umowa zlecenie",Kalkulator!$B$16="Pełne ZUS"))),D39*Kalkulator!$B$13,0),2)</f>
        <v>312.5</v>
      </c>
      <c r="L39" s="1">
        <f>ROUND(IF(AND(Kalkulator!$B$15="Tak",OR(Kalkulator!$B$5="Umowa o pracę (UoP)",AND(Kalkulator!$B$5="Umowa zlecenie",Kalkulator!$B$16="Pełne ZUS"))),D39*Kalkulator!$B$14,0),2)</f>
        <v>234.38</v>
      </c>
      <c r="M39" s="1">
        <f>IF(Kalkulator!$B$5="Umowa o pracę (UoP)",Kalkulator!$B$10,IF(Kalkulator!$B$5="Umowa zlecenie",(D39-I39)*'Założenia 2026'!$B$32,IF(Kalkulator!$B$5="Umowa o dzieło",D39*Kalkulator!$B$18,0)))</f>
        <v>250</v>
      </c>
      <c r="N39" s="1">
        <f>MAX(0,ROUND(IF(OR(Kalkulator!$B$5="Umowa o pracę (UoP)",Kalkulator!$B$5="Umowa zlecenie"),D39-I39-M39+L39,IF(Kalkulator!$B$5="Umowa o dzieło",D39-M39,0)),0))</f>
        <v>13467</v>
      </c>
      <c r="O39" s="1">
        <f>IF(AND(Kalkulator!$B$5="Umowa zlecenie",Kalkulator!$B$16="Student &lt;26 (bez ZUS/PIT)"),0,MAX(0,ROUND(IF(Kalkulator!$B$12+N39&lt;='Założenia 2026'!$B$3,(Kalkulator!$B$12+N39)*'Założenia 2026'!$B$4,'Założenia 2026'!$B$3*'Założenia 2026'!$B$4+(Kalkulator!$B$12+N39-'Założenia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1316</v>
      </c>
      <c r="P39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39" s="1">
        <f>IF(Kalkulator!$B$5&lt;&gt;"Samozatrudnienie (B2B)",0,IF(Kalkulator!$B$19="Ryczałt",IF(Kalkulator!$B$25+D39&lt;=60000,'Założenia 2026'!$B$27,IF(Kalkulator!$B$25+D39&lt;=300000,'Założenia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39" s="1">
        <f>MAX(0,D39-Kalkulator!$B$20-P39)</f>
        <v>14625</v>
      </c>
      <c r="S39" s="1">
        <f>IF(Kalkulator!$B$5&lt;&gt;"Samozatrudnienie (B2B)",0,IF(Kalkulator!$B$19="Skala podatkowa",MAX(0,ROUND(MAX(0,IF(Kalkulator!$B$24+R39&lt;='Założenia 2026'!$B$3,(Kalkulator!$B$24+R39)*'Założenia 2026'!$B$4,'Założenia 2026'!$B$3*'Założenia 2026'!$B$4+(Kalkulator!$B$24+R39-'Założenia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liniowy",MAX(0,ROUND(MAX(0,R39-MIN(Q39,MAX(0,'Założenia 2026'!$B$8-Kalkulator!$B$29)))*'Założenia 2026'!$B$7,0)),MAX(0,ROUND(MAX(0,D39-P39-0.5*Q39)*Kalkulator!$B$23,0)))))</f>
        <v>0</v>
      </c>
    </row>
    <row r="40" spans="1:19" x14ac:dyDescent="0.35">
      <c r="A40" s="1">
        <v>4</v>
      </c>
      <c r="B40" s="1">
        <f>IF(E39&lt;Kalkulator!$B$6,D39,B39)</f>
        <v>12500</v>
      </c>
      <c r="C40" s="1">
        <f>IF(E39&gt;=Kalkulator!$B$6,D39,C39)</f>
        <v>15625</v>
      </c>
      <c r="D40" s="1">
        <f t="shared" si="1"/>
        <v>14062.5</v>
      </c>
      <c r="E40" s="1">
        <f>IF(Kalkulator!$B$5="Samozatrudnienie (B2B)",D40-Kalkulator!$B$20-P40-Q40-S40,D40-I40-J40-K40-O40)</f>
        <v>9610.17</v>
      </c>
      <c r="F40" s="1">
        <f>ROUND(IF(OR(Kalkulator!$B$5="Umowa o pracę (UoP)",AND(Kalkulator!$B$5="Umowa zlecenie",Kalkulator!$B$16="Pełne ZUS")),MAX(0,MIN(D40,'Założenia 2026'!$B$35-Kalkulator!$B$30))*'Założenia 2026'!$B$9,0),2)</f>
        <v>1372.5</v>
      </c>
      <c r="G40" s="1">
        <f>ROUND(IF(OR(Kalkulator!$B$5="Umowa o pracę (UoP)",AND(Kalkulator!$B$5="Umowa zlecenie",Kalkulator!$B$16="Pełne ZUS")),MAX(0,MIN(D40,'Założenia 2026'!$B$35-Kalkulator!$B$30))*'Założenia 2026'!$B$10,0),2)</f>
        <v>210.94</v>
      </c>
      <c r="H40" s="1">
        <f>ROUND(IF(OR(Kalkulator!$B$5="Umowa o pracę (UoP)",AND(Kalkulator!$B$5="Umowa zlecenie",Kalkulator!$B$16="Pełne ZUS",Kalkulator!$B$17="Tak")),D40*'Założenia 2026'!$B$11,0),2)</f>
        <v>344.53</v>
      </c>
      <c r="I40" s="1">
        <f t="shared" si="0"/>
        <v>1927.97</v>
      </c>
      <c r="J40" s="1">
        <f>ROUND(IF(AND(Kalkulator!$B$5="Umowa zlecenie",Kalkulator!$B$16="Student &lt;26 (bez ZUS/PIT)"),0,IF(OR(Kalkulator!$B$5="Umowa o pracę (UoP)",Kalkulator!$B$5="Umowa zlecenie"),(D40-I40)*'Założenia 2026'!$B$12,0)),2)</f>
        <v>1092.1099999999999</v>
      </c>
      <c r="K40" s="1">
        <f>ROUND(IF(AND(Kalkulator!$B$15="Tak",OR(Kalkulator!$B$5="Umowa o pracę (UoP)",AND(Kalkulator!$B$5="Umowa zlecenie",Kalkulator!$B$16="Pełne ZUS"))),D40*Kalkulator!$B$13,0),2)</f>
        <v>281.25</v>
      </c>
      <c r="L40" s="1">
        <f>ROUND(IF(AND(Kalkulator!$B$15="Tak",OR(Kalkulator!$B$5="Umowa o pracę (UoP)",AND(Kalkulator!$B$5="Umowa zlecenie",Kalkulator!$B$16="Pełne ZUS"))),D40*Kalkulator!$B$14,0),2)</f>
        <v>210.94</v>
      </c>
      <c r="M40" s="1">
        <f>IF(Kalkulator!$B$5="Umowa o pracę (UoP)",Kalkulator!$B$10,IF(Kalkulator!$B$5="Umowa zlecenie",(D40-I40)*'Założenia 2026'!$B$32,IF(Kalkulator!$B$5="Umowa o dzieło",D40*Kalkulator!$B$18,0)))</f>
        <v>250</v>
      </c>
      <c r="N40" s="1">
        <f>MAX(0,ROUND(IF(OR(Kalkulator!$B$5="Umowa o pracę (UoP)",Kalkulator!$B$5="Umowa zlecenie"),D40-I40-M40+L40,IF(Kalkulator!$B$5="Umowa o dzieło",D40-M40,0)),0))</f>
        <v>12095</v>
      </c>
      <c r="O40" s="1">
        <f>IF(AND(Kalkulator!$B$5="Umowa zlecenie",Kalkulator!$B$16="Student &lt;26 (bez ZUS/PIT)"),0,MAX(0,ROUND(IF(Kalkulator!$B$12+N40&lt;='Założenia 2026'!$B$3,(Kalkulator!$B$12+N40)*'Założenia 2026'!$B$4,'Założenia 2026'!$B$3*'Założenia 2026'!$B$4+(Kalkulator!$B$12+N40-'Założenia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1151</v>
      </c>
      <c r="P40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40" s="1">
        <f>IF(Kalkulator!$B$5&lt;&gt;"Samozatrudnienie (B2B)",0,IF(Kalkulator!$B$19="Ryczałt",IF(Kalkulator!$B$25+D40&lt;=60000,'Założenia 2026'!$B$27,IF(Kalkulator!$B$25+D40&lt;=300000,'Założenia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40" s="1">
        <f>MAX(0,D40-Kalkulator!$B$20-P40)</f>
        <v>13062.5</v>
      </c>
      <c r="S40" s="1">
        <f>IF(Kalkulator!$B$5&lt;&gt;"Samozatrudnienie (B2B)",0,IF(Kalkulator!$B$19="Skala podatkowa",MAX(0,ROUND(MAX(0,IF(Kalkulator!$B$24+R40&lt;='Założenia 2026'!$B$3,(Kalkulator!$B$24+R40)*'Założenia 2026'!$B$4,'Założenia 2026'!$B$3*'Założenia 2026'!$B$4+(Kalkulator!$B$24+R40-'Założenia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liniowy",MAX(0,ROUND(MAX(0,R40-MIN(Q40,MAX(0,'Założenia 2026'!$B$8-Kalkulator!$B$29)))*'Założenia 2026'!$B$7,0)),MAX(0,ROUND(MAX(0,D40-P40-0.5*Q40)*Kalkulator!$B$23,0)))))</f>
        <v>0</v>
      </c>
    </row>
    <row r="41" spans="1:19" x14ac:dyDescent="0.35">
      <c r="A41" s="1">
        <v>5</v>
      </c>
      <c r="B41" s="1">
        <f>IF(E40&lt;Kalkulator!$B$6,D40,B40)</f>
        <v>14062.5</v>
      </c>
      <c r="C41" s="1">
        <f>IF(E40&gt;=Kalkulator!$B$6,D40,C40)</f>
        <v>15625</v>
      </c>
      <c r="D41" s="1">
        <f t="shared" si="1"/>
        <v>14843.75</v>
      </c>
      <c r="E41" s="1">
        <f>IF(Kalkulator!$B$5="Samozatrudnienie (B2B)",D41-Kalkulator!$B$20-P41-Q41-S41,D41-I41-J41-K41-O41)</f>
        <v>10125.01</v>
      </c>
      <c r="F41" s="1">
        <f>ROUND(IF(OR(Kalkulator!$B$5="Umowa o pracę (UoP)",AND(Kalkulator!$B$5="Umowa zlecenie",Kalkulator!$B$16="Pełne ZUS")),MAX(0,MIN(D41,'Założenia 2026'!$B$35-Kalkulator!$B$30))*'Założenia 2026'!$B$9,0),2)</f>
        <v>1448.75</v>
      </c>
      <c r="G41" s="1">
        <f>ROUND(IF(OR(Kalkulator!$B$5="Umowa o pracę (UoP)",AND(Kalkulator!$B$5="Umowa zlecenie",Kalkulator!$B$16="Pełne ZUS")),MAX(0,MIN(D41,'Założenia 2026'!$B$35-Kalkulator!$B$30))*'Założenia 2026'!$B$10,0),2)</f>
        <v>222.66</v>
      </c>
      <c r="H41" s="1">
        <f>ROUND(IF(OR(Kalkulator!$B$5="Umowa o pracę (UoP)",AND(Kalkulator!$B$5="Umowa zlecenie",Kalkulator!$B$16="Pełne ZUS",Kalkulator!$B$17="Tak")),D41*'Założenia 2026'!$B$11,0),2)</f>
        <v>363.67</v>
      </c>
      <c r="I41" s="1">
        <f t="shared" si="0"/>
        <v>2035.0800000000002</v>
      </c>
      <c r="J41" s="1">
        <f>ROUND(IF(AND(Kalkulator!$B$5="Umowa zlecenie",Kalkulator!$B$16="Student &lt;26 (bez ZUS/PIT)"),0,IF(OR(Kalkulator!$B$5="Umowa o pracę (UoP)",Kalkulator!$B$5="Umowa zlecenie"),(D41-I41)*'Założenia 2026'!$B$12,0)),2)</f>
        <v>1152.78</v>
      </c>
      <c r="K41" s="1">
        <f>ROUND(IF(AND(Kalkulator!$B$15="Tak",OR(Kalkulator!$B$5="Umowa o pracę (UoP)",AND(Kalkulator!$B$5="Umowa zlecenie",Kalkulator!$B$16="Pełne ZUS"))),D41*Kalkulator!$B$13,0),2)</f>
        <v>296.88</v>
      </c>
      <c r="L41" s="1">
        <f>ROUND(IF(AND(Kalkulator!$B$15="Tak",OR(Kalkulator!$B$5="Umowa o pracę (UoP)",AND(Kalkulator!$B$5="Umowa zlecenie",Kalkulator!$B$16="Pełne ZUS"))),D41*Kalkulator!$B$14,0),2)</f>
        <v>222.66</v>
      </c>
      <c r="M41" s="1">
        <f>IF(Kalkulator!$B$5="Umowa o pracę (UoP)",Kalkulator!$B$10,IF(Kalkulator!$B$5="Umowa zlecenie",(D41-I41)*'Założenia 2026'!$B$32,IF(Kalkulator!$B$5="Umowa o dzieło",D41*Kalkulator!$B$18,0)))</f>
        <v>250</v>
      </c>
      <c r="N41" s="1">
        <f>MAX(0,ROUND(IF(OR(Kalkulator!$B$5="Umowa o pracę (UoP)",Kalkulator!$B$5="Umowa zlecenie"),D41-I41-M41+L41,IF(Kalkulator!$B$5="Umowa o dzieło",D41-M41,0)),0))</f>
        <v>12781</v>
      </c>
      <c r="O41" s="1">
        <f>IF(AND(Kalkulator!$B$5="Umowa zlecenie",Kalkulator!$B$16="Student &lt;26 (bez ZUS/PIT)"),0,MAX(0,ROUND(IF(Kalkulator!$B$12+N41&lt;='Założenia 2026'!$B$3,(Kalkulator!$B$12+N41)*'Założenia 2026'!$B$4,'Założenia 2026'!$B$3*'Założenia 2026'!$B$4+(Kalkulator!$B$12+N41-'Założenia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1234</v>
      </c>
      <c r="P41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41" s="1">
        <f>IF(Kalkulator!$B$5&lt;&gt;"Samozatrudnienie (B2B)",0,IF(Kalkulator!$B$19="Ryczałt",IF(Kalkulator!$B$25+D41&lt;=60000,'Założenia 2026'!$B$27,IF(Kalkulator!$B$25+D41&lt;=300000,'Założenia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41" s="1">
        <f>MAX(0,D41-Kalkulator!$B$20-P41)</f>
        <v>13843.75</v>
      </c>
      <c r="S41" s="1">
        <f>IF(Kalkulator!$B$5&lt;&gt;"Samozatrudnienie (B2B)",0,IF(Kalkulator!$B$19="Skala podatkowa",MAX(0,ROUND(MAX(0,IF(Kalkulator!$B$24+R41&lt;='Założenia 2026'!$B$3,(Kalkulator!$B$24+R41)*'Założenia 2026'!$B$4,'Założenia 2026'!$B$3*'Założenia 2026'!$B$4+(Kalkulator!$B$24+R41-'Założenia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liniowy",MAX(0,ROUND(MAX(0,R41-MIN(Q41,MAX(0,'Założenia 2026'!$B$8-Kalkulator!$B$29)))*'Założenia 2026'!$B$7,0)),MAX(0,ROUND(MAX(0,D41-P41-0.5*Q41)*Kalkulator!$B$23,0)))))</f>
        <v>0</v>
      </c>
    </row>
    <row r="42" spans="1:19" x14ac:dyDescent="0.35">
      <c r="A42" s="1">
        <v>6</v>
      </c>
      <c r="B42" s="1">
        <f>IF(E41&lt;Kalkulator!$B$6,D41,B41)</f>
        <v>14062.5</v>
      </c>
      <c r="C42" s="1">
        <f>IF(E41&gt;=Kalkulator!$B$6,D41,C41)</f>
        <v>14843.75</v>
      </c>
      <c r="D42" s="1">
        <f t="shared" si="1"/>
        <v>14453.125</v>
      </c>
      <c r="E42" s="1">
        <f>IF(Kalkulator!$B$5="Samozatrudnienie (B2B)",D42-Kalkulator!$B$20-P42-Q42-S42,D42-I42-J42-K42-O42)</f>
        <v>9867.0949999999993</v>
      </c>
      <c r="F42" s="1">
        <f>ROUND(IF(OR(Kalkulator!$B$5="Umowa o pracę (UoP)",AND(Kalkulator!$B$5="Umowa zlecenie",Kalkulator!$B$16="Pełne ZUS")),MAX(0,MIN(D42,'Założenia 2026'!$B$35-Kalkulator!$B$30))*'Założenia 2026'!$B$9,0),2)</f>
        <v>1410.63</v>
      </c>
      <c r="G42" s="1">
        <f>ROUND(IF(OR(Kalkulator!$B$5="Umowa o pracę (UoP)",AND(Kalkulator!$B$5="Umowa zlecenie",Kalkulator!$B$16="Pełne ZUS")),MAX(0,MIN(D42,'Założenia 2026'!$B$35-Kalkulator!$B$30))*'Założenia 2026'!$B$10,0),2)</f>
        <v>216.8</v>
      </c>
      <c r="H42" s="1">
        <f>ROUND(IF(OR(Kalkulator!$B$5="Umowa o pracę (UoP)",AND(Kalkulator!$B$5="Umowa zlecenie",Kalkulator!$B$16="Pełne ZUS",Kalkulator!$B$17="Tak")),D42*'Założenia 2026'!$B$11,0),2)</f>
        <v>354.1</v>
      </c>
      <c r="I42" s="1">
        <f t="shared" si="0"/>
        <v>1981.5300000000002</v>
      </c>
      <c r="J42" s="1">
        <f>ROUND(IF(AND(Kalkulator!$B$5="Umowa zlecenie",Kalkulator!$B$16="Student &lt;26 (bez ZUS/PIT)"),0,IF(OR(Kalkulator!$B$5="Umowa o pracę (UoP)",Kalkulator!$B$5="Umowa zlecenie"),(D42-I42)*'Założenia 2026'!$B$12,0)),2)</f>
        <v>1122.44</v>
      </c>
      <c r="K42" s="1">
        <f>ROUND(IF(AND(Kalkulator!$B$15="Tak",OR(Kalkulator!$B$5="Umowa o pracę (UoP)",AND(Kalkulator!$B$5="Umowa zlecenie",Kalkulator!$B$16="Pełne ZUS"))),D42*Kalkulator!$B$13,0),2)</f>
        <v>289.06</v>
      </c>
      <c r="L42" s="1">
        <f>ROUND(IF(AND(Kalkulator!$B$15="Tak",OR(Kalkulator!$B$5="Umowa o pracę (UoP)",AND(Kalkulator!$B$5="Umowa zlecenie",Kalkulator!$B$16="Pełne ZUS"))),D42*Kalkulator!$B$14,0),2)</f>
        <v>216.8</v>
      </c>
      <c r="M42" s="1">
        <f>IF(Kalkulator!$B$5="Umowa o pracę (UoP)",Kalkulator!$B$10,IF(Kalkulator!$B$5="Umowa zlecenie",(D42-I42)*'Założenia 2026'!$B$32,IF(Kalkulator!$B$5="Umowa o dzieło",D42*Kalkulator!$B$18,0)))</f>
        <v>250</v>
      </c>
      <c r="N42" s="1">
        <f>MAX(0,ROUND(IF(OR(Kalkulator!$B$5="Umowa o pracę (UoP)",Kalkulator!$B$5="Umowa zlecenie"),D42-I42-M42+L42,IF(Kalkulator!$B$5="Umowa o dzieło",D42-M42,0)),0))</f>
        <v>12438</v>
      </c>
      <c r="O42" s="1">
        <f>IF(AND(Kalkulator!$B$5="Umowa zlecenie",Kalkulator!$B$16="Student &lt;26 (bez ZUS/PIT)"),0,MAX(0,ROUND(IF(Kalkulator!$B$12+N42&lt;='Założenia 2026'!$B$3,(Kalkulator!$B$12+N42)*'Założenia 2026'!$B$4,'Założenia 2026'!$B$3*'Założenia 2026'!$B$4+(Kalkulator!$B$12+N42-'Założenia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1193</v>
      </c>
      <c r="P42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42" s="1">
        <f>IF(Kalkulator!$B$5&lt;&gt;"Samozatrudnienie (B2B)",0,IF(Kalkulator!$B$19="Ryczałt",IF(Kalkulator!$B$25+D42&lt;=60000,'Założenia 2026'!$B$27,IF(Kalkulator!$B$25+D42&lt;=300000,'Założenia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42" s="1">
        <f>MAX(0,D42-Kalkulator!$B$20-P42)</f>
        <v>13453.125</v>
      </c>
      <c r="S42" s="1">
        <f>IF(Kalkulator!$B$5&lt;&gt;"Samozatrudnienie (B2B)",0,IF(Kalkulator!$B$19="Skala podatkowa",MAX(0,ROUND(MAX(0,IF(Kalkulator!$B$24+R42&lt;='Założenia 2026'!$B$3,(Kalkulator!$B$24+R42)*'Założenia 2026'!$B$4,'Założenia 2026'!$B$3*'Założenia 2026'!$B$4+(Kalkulator!$B$24+R42-'Założenia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liniowy",MAX(0,ROUND(MAX(0,R42-MIN(Q42,MAX(0,'Założenia 2026'!$B$8-Kalkulator!$B$29)))*'Założenia 2026'!$B$7,0)),MAX(0,ROUND(MAX(0,D42-P42-0.5*Q42)*Kalkulator!$B$23,0)))))</f>
        <v>0</v>
      </c>
    </row>
    <row r="43" spans="1:19" x14ac:dyDescent="0.35">
      <c r="A43" s="1">
        <v>7</v>
      </c>
      <c r="B43" s="1">
        <f>IF(E42&lt;Kalkulator!$B$6,D42,B42)</f>
        <v>14453.125</v>
      </c>
      <c r="C43" s="1">
        <f>IF(E42&gt;=Kalkulator!$B$6,D42,C42)</f>
        <v>14843.75</v>
      </c>
      <c r="D43" s="1">
        <f t="shared" si="1"/>
        <v>14648.4375</v>
      </c>
      <c r="E43" s="1">
        <f>IF(Kalkulator!$B$5="Samozatrudnienie (B2B)",D43-Kalkulator!$B$20-P43-Q43-S43,D43-I43-J43-K43-O43)</f>
        <v>9996.5475000000006</v>
      </c>
      <c r="F43" s="1">
        <f>ROUND(IF(OR(Kalkulator!$B$5="Umowa o pracę (UoP)",AND(Kalkulator!$B$5="Umowa zlecenie",Kalkulator!$B$16="Pełne ZUS")),MAX(0,MIN(D43,'Założenia 2026'!$B$35-Kalkulator!$B$30))*'Założenia 2026'!$B$9,0),2)</f>
        <v>1429.69</v>
      </c>
      <c r="G43" s="1">
        <f>ROUND(IF(OR(Kalkulator!$B$5="Umowa o pracę (UoP)",AND(Kalkulator!$B$5="Umowa zlecenie",Kalkulator!$B$16="Pełne ZUS")),MAX(0,MIN(D43,'Założenia 2026'!$B$35-Kalkulator!$B$30))*'Założenia 2026'!$B$10,0),2)</f>
        <v>219.73</v>
      </c>
      <c r="H43" s="1">
        <f>ROUND(IF(OR(Kalkulator!$B$5="Umowa o pracę (UoP)",AND(Kalkulator!$B$5="Umowa zlecenie",Kalkulator!$B$16="Pełne ZUS",Kalkulator!$B$17="Tak")),D43*'Założenia 2026'!$B$11,0),2)</f>
        <v>358.89</v>
      </c>
      <c r="I43" s="1">
        <f t="shared" si="0"/>
        <v>2008.31</v>
      </c>
      <c r="J43" s="1">
        <f>ROUND(IF(AND(Kalkulator!$B$5="Umowa zlecenie",Kalkulator!$B$16="Student &lt;26 (bez ZUS/PIT)"),0,IF(OR(Kalkulator!$B$5="Umowa o pracę (UoP)",Kalkulator!$B$5="Umowa zlecenie"),(D43-I43)*'Założenia 2026'!$B$12,0)),2)</f>
        <v>1137.6099999999999</v>
      </c>
      <c r="K43" s="1">
        <f>ROUND(IF(AND(Kalkulator!$B$15="Tak",OR(Kalkulator!$B$5="Umowa o pracę (UoP)",AND(Kalkulator!$B$5="Umowa zlecenie",Kalkulator!$B$16="Pełne ZUS"))),D43*Kalkulator!$B$13,0),2)</f>
        <v>292.97000000000003</v>
      </c>
      <c r="L43" s="1">
        <f>ROUND(IF(AND(Kalkulator!$B$15="Tak",OR(Kalkulator!$B$5="Umowa o pracę (UoP)",AND(Kalkulator!$B$5="Umowa zlecenie",Kalkulator!$B$16="Pełne ZUS"))),D43*Kalkulator!$B$14,0),2)</f>
        <v>219.73</v>
      </c>
      <c r="M43" s="1">
        <f>IF(Kalkulator!$B$5="Umowa o pracę (UoP)",Kalkulator!$B$10,IF(Kalkulator!$B$5="Umowa zlecenie",(D43-I43)*'Założenia 2026'!$B$32,IF(Kalkulator!$B$5="Umowa o dzieło",D43*Kalkulator!$B$18,0)))</f>
        <v>250</v>
      </c>
      <c r="N43" s="1">
        <f>MAX(0,ROUND(IF(OR(Kalkulator!$B$5="Umowa o pracę (UoP)",Kalkulator!$B$5="Umowa zlecenie"),D43-I43-M43+L43,IF(Kalkulator!$B$5="Umowa o dzieło",D43-M43,0)),0))</f>
        <v>12610</v>
      </c>
      <c r="O43" s="1">
        <f>IF(AND(Kalkulator!$B$5="Umowa zlecenie",Kalkulator!$B$16="Student &lt;26 (bez ZUS/PIT)"),0,MAX(0,ROUND(IF(Kalkulator!$B$12+N43&lt;='Założenia 2026'!$B$3,(Kalkulator!$B$12+N43)*'Założenia 2026'!$B$4,'Założenia 2026'!$B$3*'Założenia 2026'!$B$4+(Kalkulator!$B$12+N43-'Założenia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1213</v>
      </c>
      <c r="P43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43" s="1">
        <f>IF(Kalkulator!$B$5&lt;&gt;"Samozatrudnienie (B2B)",0,IF(Kalkulator!$B$19="Ryczałt",IF(Kalkulator!$B$25+D43&lt;=60000,'Założenia 2026'!$B$27,IF(Kalkulator!$B$25+D43&lt;=300000,'Założenia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43" s="1">
        <f>MAX(0,D43-Kalkulator!$B$20-P43)</f>
        <v>13648.4375</v>
      </c>
      <c r="S43" s="1">
        <f>IF(Kalkulator!$B$5&lt;&gt;"Samozatrudnienie (B2B)",0,IF(Kalkulator!$B$19="Skala podatkowa",MAX(0,ROUND(MAX(0,IF(Kalkulator!$B$24+R43&lt;='Założenia 2026'!$B$3,(Kalkulator!$B$24+R43)*'Założenia 2026'!$B$4,'Założenia 2026'!$B$3*'Założenia 2026'!$B$4+(Kalkulator!$B$24+R43-'Założenia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liniowy",MAX(0,ROUND(MAX(0,R43-MIN(Q43,MAX(0,'Założenia 2026'!$B$8-Kalkulator!$B$29)))*'Założenia 2026'!$B$7,0)),MAX(0,ROUND(MAX(0,D43-P43-0.5*Q43)*Kalkulator!$B$23,0)))))</f>
        <v>0</v>
      </c>
    </row>
    <row r="44" spans="1:19" x14ac:dyDescent="0.35">
      <c r="A44" s="1">
        <v>8</v>
      </c>
      <c r="B44" s="1">
        <f>IF(E43&lt;Kalkulator!$B$6,D43,B43)</f>
        <v>14648.4375</v>
      </c>
      <c r="C44" s="1">
        <f>IF(E43&gt;=Kalkulator!$B$6,D43,C43)</f>
        <v>14843.75</v>
      </c>
      <c r="D44" s="1">
        <f t="shared" si="1"/>
        <v>14746.09375</v>
      </c>
      <c r="E44" s="1">
        <f>IF(Kalkulator!$B$5="Samozatrudnienie (B2B)",D44-Kalkulator!$B$20-P44-Q44-S44,D44-I44-J44-K44-O44)</f>
        <v>10060.283749999999</v>
      </c>
      <c r="F44" s="1">
        <f>ROUND(IF(OR(Kalkulator!$B$5="Umowa o pracę (UoP)",AND(Kalkulator!$B$5="Umowa zlecenie",Kalkulator!$B$16="Pełne ZUS")),MAX(0,MIN(D44,'Założenia 2026'!$B$35-Kalkulator!$B$30))*'Założenia 2026'!$B$9,0),2)</f>
        <v>1439.22</v>
      </c>
      <c r="G44" s="1">
        <f>ROUND(IF(OR(Kalkulator!$B$5="Umowa o pracę (UoP)",AND(Kalkulator!$B$5="Umowa zlecenie",Kalkulator!$B$16="Pełne ZUS")),MAX(0,MIN(D44,'Założenia 2026'!$B$35-Kalkulator!$B$30))*'Założenia 2026'!$B$10,0),2)</f>
        <v>221.19</v>
      </c>
      <c r="H44" s="1">
        <f>ROUND(IF(OR(Kalkulator!$B$5="Umowa o pracę (UoP)",AND(Kalkulator!$B$5="Umowa zlecenie",Kalkulator!$B$16="Pełne ZUS",Kalkulator!$B$17="Tak")),D44*'Założenia 2026'!$B$11,0),2)</f>
        <v>361.28</v>
      </c>
      <c r="I44" s="1">
        <f t="shared" si="0"/>
        <v>2021.69</v>
      </c>
      <c r="J44" s="1">
        <f>ROUND(IF(AND(Kalkulator!$B$5="Umowa zlecenie",Kalkulator!$B$16="Student &lt;26 (bez ZUS/PIT)"),0,IF(OR(Kalkulator!$B$5="Umowa o pracę (UoP)",Kalkulator!$B$5="Umowa zlecenie"),(D44-I44)*'Założenia 2026'!$B$12,0)),2)</f>
        <v>1145.2</v>
      </c>
      <c r="K44" s="1">
        <f>ROUND(IF(AND(Kalkulator!$B$15="Tak",OR(Kalkulator!$B$5="Umowa o pracę (UoP)",AND(Kalkulator!$B$5="Umowa zlecenie",Kalkulator!$B$16="Pełne ZUS"))),D44*Kalkulator!$B$13,0),2)</f>
        <v>294.92</v>
      </c>
      <c r="L44" s="1">
        <f>ROUND(IF(AND(Kalkulator!$B$15="Tak",OR(Kalkulator!$B$5="Umowa o pracę (UoP)",AND(Kalkulator!$B$5="Umowa zlecenie",Kalkulator!$B$16="Pełne ZUS"))),D44*Kalkulator!$B$14,0),2)</f>
        <v>221.19</v>
      </c>
      <c r="M44" s="1">
        <f>IF(Kalkulator!$B$5="Umowa o pracę (UoP)",Kalkulator!$B$10,IF(Kalkulator!$B$5="Umowa zlecenie",(D44-I44)*'Założenia 2026'!$B$32,IF(Kalkulator!$B$5="Umowa o dzieło",D44*Kalkulator!$B$18,0)))</f>
        <v>250</v>
      </c>
      <c r="N44" s="1">
        <f>MAX(0,ROUND(IF(OR(Kalkulator!$B$5="Umowa o pracę (UoP)",Kalkulator!$B$5="Umowa zlecenie"),D44-I44-M44+L44,IF(Kalkulator!$B$5="Umowa o dzieło",D44-M44,0)),0))</f>
        <v>12696</v>
      </c>
      <c r="O44" s="1">
        <f>IF(AND(Kalkulator!$B$5="Umowa zlecenie",Kalkulator!$B$16="Student &lt;26 (bez ZUS/PIT)"),0,MAX(0,ROUND(IF(Kalkulator!$B$12+N44&lt;='Założenia 2026'!$B$3,(Kalkulator!$B$12+N44)*'Założenia 2026'!$B$4,'Założenia 2026'!$B$3*'Założenia 2026'!$B$4+(Kalkulator!$B$12+N44-'Założenia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1224</v>
      </c>
      <c r="P44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44" s="1">
        <f>IF(Kalkulator!$B$5&lt;&gt;"Samozatrudnienie (B2B)",0,IF(Kalkulator!$B$19="Ryczałt",IF(Kalkulator!$B$25+D44&lt;=60000,'Założenia 2026'!$B$27,IF(Kalkulator!$B$25+D44&lt;=300000,'Założenia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44" s="1">
        <f>MAX(0,D44-Kalkulator!$B$20-P44)</f>
        <v>13746.09375</v>
      </c>
      <c r="S44" s="1">
        <f>IF(Kalkulator!$B$5&lt;&gt;"Samozatrudnienie (B2B)",0,IF(Kalkulator!$B$19="Skala podatkowa",MAX(0,ROUND(MAX(0,IF(Kalkulator!$B$24+R44&lt;='Założenia 2026'!$B$3,(Kalkulator!$B$24+R44)*'Założenia 2026'!$B$4,'Założenia 2026'!$B$3*'Założenia 2026'!$B$4+(Kalkulator!$B$24+R44-'Założenia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liniowy",MAX(0,ROUND(MAX(0,R44-MIN(Q44,MAX(0,'Założenia 2026'!$B$8-Kalkulator!$B$29)))*'Założenia 2026'!$B$7,0)),MAX(0,ROUND(MAX(0,D44-P44-0.5*Q44)*Kalkulator!$B$23,0)))))</f>
        <v>0</v>
      </c>
    </row>
    <row r="45" spans="1:19" x14ac:dyDescent="0.35">
      <c r="A45" s="1">
        <v>9</v>
      </c>
      <c r="B45" s="1">
        <f>IF(E44&lt;Kalkulator!$B$6,D44,B44)</f>
        <v>14648.4375</v>
      </c>
      <c r="C45" s="1">
        <f>IF(E44&gt;=Kalkulator!$B$6,D44,C44)</f>
        <v>14746.09375</v>
      </c>
      <c r="D45" s="1">
        <f t="shared" si="1"/>
        <v>14697.265625</v>
      </c>
      <c r="E45" s="1">
        <f>IF(Kalkulator!$B$5="Samozatrudnienie (B2B)",D45-Kalkulator!$B$20-P45-Q45-S45,D45-I45-J45-K45-O45)</f>
        <v>10028.925625</v>
      </c>
      <c r="F45" s="1">
        <f>ROUND(IF(OR(Kalkulator!$B$5="Umowa o pracę (UoP)",AND(Kalkulator!$B$5="Umowa zlecenie",Kalkulator!$B$16="Pełne ZUS")),MAX(0,MIN(D45,'Założenia 2026'!$B$35-Kalkulator!$B$30))*'Założenia 2026'!$B$9,0),2)</f>
        <v>1434.45</v>
      </c>
      <c r="G45" s="1">
        <f>ROUND(IF(OR(Kalkulator!$B$5="Umowa o pracę (UoP)",AND(Kalkulator!$B$5="Umowa zlecenie",Kalkulator!$B$16="Pełne ZUS")),MAX(0,MIN(D45,'Założenia 2026'!$B$35-Kalkulator!$B$30))*'Założenia 2026'!$B$10,0),2)</f>
        <v>220.46</v>
      </c>
      <c r="H45" s="1">
        <f>ROUND(IF(OR(Kalkulator!$B$5="Umowa o pracę (UoP)",AND(Kalkulator!$B$5="Umowa zlecenie",Kalkulator!$B$16="Pełne ZUS",Kalkulator!$B$17="Tak")),D45*'Założenia 2026'!$B$11,0),2)</f>
        <v>360.08</v>
      </c>
      <c r="I45" s="1">
        <f t="shared" si="0"/>
        <v>2014.99</v>
      </c>
      <c r="J45" s="1">
        <f>ROUND(IF(AND(Kalkulator!$B$5="Umowa zlecenie",Kalkulator!$B$16="Student &lt;26 (bez ZUS/PIT)"),0,IF(OR(Kalkulator!$B$5="Umowa o pracę (UoP)",Kalkulator!$B$5="Umowa zlecenie"),(D45-I45)*'Założenia 2026'!$B$12,0)),2)</f>
        <v>1141.4000000000001</v>
      </c>
      <c r="K45" s="1">
        <f>ROUND(IF(AND(Kalkulator!$B$15="Tak",OR(Kalkulator!$B$5="Umowa o pracę (UoP)",AND(Kalkulator!$B$5="Umowa zlecenie",Kalkulator!$B$16="Pełne ZUS"))),D45*Kalkulator!$B$13,0),2)</f>
        <v>293.95</v>
      </c>
      <c r="L45" s="1">
        <f>ROUND(IF(AND(Kalkulator!$B$15="Tak",OR(Kalkulator!$B$5="Umowa o pracę (UoP)",AND(Kalkulator!$B$5="Umowa zlecenie",Kalkulator!$B$16="Pełne ZUS"))),D45*Kalkulator!$B$14,0),2)</f>
        <v>220.46</v>
      </c>
      <c r="M45" s="1">
        <f>IF(Kalkulator!$B$5="Umowa o pracę (UoP)",Kalkulator!$B$10,IF(Kalkulator!$B$5="Umowa zlecenie",(D45-I45)*'Założenia 2026'!$B$32,IF(Kalkulator!$B$5="Umowa o dzieło",D45*Kalkulator!$B$18,0)))</f>
        <v>250</v>
      </c>
      <c r="N45" s="1">
        <f>MAX(0,ROUND(IF(OR(Kalkulator!$B$5="Umowa o pracę (UoP)",Kalkulator!$B$5="Umowa zlecenie"),D45-I45-M45+L45,IF(Kalkulator!$B$5="Umowa o dzieło",D45-M45,0)),0))</f>
        <v>12653</v>
      </c>
      <c r="O45" s="1">
        <f>IF(AND(Kalkulator!$B$5="Umowa zlecenie",Kalkulator!$B$16="Student &lt;26 (bez ZUS/PIT)"),0,MAX(0,ROUND(IF(Kalkulator!$B$12+N45&lt;='Założenia 2026'!$B$3,(Kalkulator!$B$12+N45)*'Założenia 2026'!$B$4,'Założenia 2026'!$B$3*'Założenia 2026'!$B$4+(Kalkulator!$B$12+N45-'Założenia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1218</v>
      </c>
      <c r="P45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45" s="1">
        <f>IF(Kalkulator!$B$5&lt;&gt;"Samozatrudnienie (B2B)",0,IF(Kalkulator!$B$19="Ryczałt",IF(Kalkulator!$B$25+D45&lt;=60000,'Założenia 2026'!$B$27,IF(Kalkulator!$B$25+D45&lt;=300000,'Założenia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45" s="1">
        <f>MAX(0,D45-Kalkulator!$B$20-P45)</f>
        <v>13697.265625</v>
      </c>
      <c r="S45" s="1">
        <f>IF(Kalkulator!$B$5&lt;&gt;"Samozatrudnienie (B2B)",0,IF(Kalkulator!$B$19="Skala podatkowa",MAX(0,ROUND(MAX(0,IF(Kalkulator!$B$24+R45&lt;='Założenia 2026'!$B$3,(Kalkulator!$B$24+R45)*'Założenia 2026'!$B$4,'Założenia 2026'!$B$3*'Założenia 2026'!$B$4+(Kalkulator!$B$24+R45-'Założenia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liniowy",MAX(0,ROUND(MAX(0,R45-MIN(Q45,MAX(0,'Założenia 2026'!$B$8-Kalkulator!$B$29)))*'Założenia 2026'!$B$7,0)),MAX(0,ROUND(MAX(0,D45-P45-0.5*Q45)*Kalkulator!$B$23,0)))))</f>
        <v>0</v>
      </c>
    </row>
    <row r="46" spans="1:19" x14ac:dyDescent="0.35">
      <c r="A46" s="1">
        <v>10</v>
      </c>
      <c r="B46" s="1">
        <f>IF(E45&lt;Kalkulator!$B$6,D45,B45)</f>
        <v>14648.4375</v>
      </c>
      <c r="C46" s="1">
        <f>IF(E45&gt;=Kalkulator!$B$6,D45,C45)</f>
        <v>14697.265625</v>
      </c>
      <c r="D46" s="1">
        <f t="shared" si="1"/>
        <v>14672.8515625</v>
      </c>
      <c r="E46" s="1">
        <f>IF(Kalkulator!$B$5="Samozatrudnienie (B2B)",D46-Kalkulator!$B$20-P46-Q46-S46,D46-I46-J46-K46-O46)</f>
        <v>10012.241562500001</v>
      </c>
      <c r="F46" s="1">
        <f>ROUND(IF(OR(Kalkulator!$B$5="Umowa o pracę (UoP)",AND(Kalkulator!$B$5="Umowa zlecenie",Kalkulator!$B$16="Pełne ZUS")),MAX(0,MIN(D46,'Założenia 2026'!$B$35-Kalkulator!$B$30))*'Założenia 2026'!$B$9,0),2)</f>
        <v>1432.07</v>
      </c>
      <c r="G46" s="1">
        <f>ROUND(IF(OR(Kalkulator!$B$5="Umowa o pracę (UoP)",AND(Kalkulator!$B$5="Umowa zlecenie",Kalkulator!$B$16="Pełne ZUS")),MAX(0,MIN(D46,'Założenia 2026'!$B$35-Kalkulator!$B$30))*'Założenia 2026'!$B$10,0),2)</f>
        <v>220.09</v>
      </c>
      <c r="H46" s="1">
        <f>ROUND(IF(OR(Kalkulator!$B$5="Umowa o pracę (UoP)",AND(Kalkulator!$B$5="Umowa zlecenie",Kalkulator!$B$16="Pełne ZUS",Kalkulator!$B$17="Tak")),D46*'Założenia 2026'!$B$11,0),2)</f>
        <v>359.48</v>
      </c>
      <c r="I46" s="1">
        <f t="shared" si="0"/>
        <v>2011.6399999999999</v>
      </c>
      <c r="J46" s="1">
        <f>ROUND(IF(AND(Kalkulator!$B$5="Umowa zlecenie",Kalkulator!$B$16="Student &lt;26 (bez ZUS/PIT)"),0,IF(OR(Kalkulator!$B$5="Umowa o pracę (UoP)",Kalkulator!$B$5="Umowa zlecenie"),(D46-I46)*'Założenia 2026'!$B$12,0)),2)</f>
        <v>1139.51</v>
      </c>
      <c r="K46" s="1">
        <f>ROUND(IF(AND(Kalkulator!$B$15="Tak",OR(Kalkulator!$B$5="Umowa o pracę (UoP)",AND(Kalkulator!$B$5="Umowa zlecenie",Kalkulator!$B$16="Pełne ZUS"))),D46*Kalkulator!$B$13,0),2)</f>
        <v>293.45999999999998</v>
      </c>
      <c r="L46" s="1">
        <f>ROUND(IF(AND(Kalkulator!$B$15="Tak",OR(Kalkulator!$B$5="Umowa o pracę (UoP)",AND(Kalkulator!$B$5="Umowa zlecenie",Kalkulator!$B$16="Pełne ZUS"))),D46*Kalkulator!$B$14,0),2)</f>
        <v>220.09</v>
      </c>
      <c r="M46" s="1">
        <f>IF(Kalkulator!$B$5="Umowa o pracę (UoP)",Kalkulator!$B$10,IF(Kalkulator!$B$5="Umowa zlecenie",(D46-I46)*'Założenia 2026'!$B$32,IF(Kalkulator!$B$5="Umowa o dzieło",D46*Kalkulator!$B$18,0)))</f>
        <v>250</v>
      </c>
      <c r="N46" s="1">
        <f>MAX(0,ROUND(IF(OR(Kalkulator!$B$5="Umowa o pracę (UoP)",Kalkulator!$B$5="Umowa zlecenie"),D46-I46-M46+L46,IF(Kalkulator!$B$5="Umowa o dzieło",D46-M46,0)),0))</f>
        <v>12631</v>
      </c>
      <c r="O46" s="1">
        <f>IF(AND(Kalkulator!$B$5="Umowa zlecenie",Kalkulator!$B$16="Student &lt;26 (bez ZUS/PIT)"),0,MAX(0,ROUND(IF(Kalkulator!$B$12+N46&lt;='Założenia 2026'!$B$3,(Kalkulator!$B$12+N46)*'Założenia 2026'!$B$4,'Założenia 2026'!$B$3*'Założenia 2026'!$B$4+(Kalkulator!$B$12+N46-'Założenia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1216</v>
      </c>
      <c r="P46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46" s="1">
        <f>IF(Kalkulator!$B$5&lt;&gt;"Samozatrudnienie (B2B)",0,IF(Kalkulator!$B$19="Ryczałt",IF(Kalkulator!$B$25+D46&lt;=60000,'Założenia 2026'!$B$27,IF(Kalkulator!$B$25+D46&lt;=300000,'Założenia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46" s="1">
        <f>MAX(0,D46-Kalkulator!$B$20-P46)</f>
        <v>13672.8515625</v>
      </c>
      <c r="S46" s="1">
        <f>IF(Kalkulator!$B$5&lt;&gt;"Samozatrudnienie (B2B)",0,IF(Kalkulator!$B$19="Skala podatkowa",MAX(0,ROUND(MAX(0,IF(Kalkulator!$B$24+R46&lt;='Założenia 2026'!$B$3,(Kalkulator!$B$24+R46)*'Założenia 2026'!$B$4,'Założenia 2026'!$B$3*'Założenia 2026'!$B$4+(Kalkulator!$B$24+R46-'Założenia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liniowy",MAX(0,ROUND(MAX(0,R46-MIN(Q46,MAX(0,'Założenia 2026'!$B$8-Kalkulator!$B$29)))*'Założenia 2026'!$B$7,0)),MAX(0,ROUND(MAX(0,D46-P46-0.5*Q46)*Kalkulator!$B$23,0)))))</f>
        <v>0</v>
      </c>
    </row>
    <row r="47" spans="1:19" x14ac:dyDescent="0.35">
      <c r="A47" s="1">
        <v>11</v>
      </c>
      <c r="B47" s="1">
        <f>IF(E46&lt;Kalkulator!$B$6,D46,B46)</f>
        <v>14648.4375</v>
      </c>
      <c r="C47" s="1">
        <f>IF(E46&gt;=Kalkulator!$B$6,D46,C46)</f>
        <v>14672.8515625</v>
      </c>
      <c r="D47" s="1">
        <f t="shared" si="1"/>
        <v>14660.64453125</v>
      </c>
      <c r="E47" s="1">
        <f>IF(Kalkulator!$B$5="Samozatrudnienie (B2B)",D47-Kalkulator!$B$20-P47-Q47-S47,D47-I47-J47-K47-O47)</f>
        <v>10003.894531250002</v>
      </c>
      <c r="F47" s="1">
        <f>ROUND(IF(OR(Kalkulator!$B$5="Umowa o pracę (UoP)",AND(Kalkulator!$B$5="Umowa zlecenie",Kalkulator!$B$16="Pełne ZUS")),MAX(0,MIN(D47,'Założenia 2026'!$B$35-Kalkulator!$B$30))*'Założenia 2026'!$B$9,0),2)</f>
        <v>1430.88</v>
      </c>
      <c r="G47" s="1">
        <f>ROUND(IF(OR(Kalkulator!$B$5="Umowa o pracę (UoP)",AND(Kalkulator!$B$5="Umowa zlecenie",Kalkulator!$B$16="Pełne ZUS")),MAX(0,MIN(D47,'Założenia 2026'!$B$35-Kalkulator!$B$30))*'Założenia 2026'!$B$10,0),2)</f>
        <v>219.91</v>
      </c>
      <c r="H47" s="1">
        <f>ROUND(IF(OR(Kalkulator!$B$5="Umowa o pracę (UoP)",AND(Kalkulator!$B$5="Umowa zlecenie",Kalkulator!$B$16="Pełne ZUS",Kalkulator!$B$17="Tak")),D47*'Założenia 2026'!$B$11,0),2)</f>
        <v>359.19</v>
      </c>
      <c r="I47" s="1">
        <f t="shared" si="0"/>
        <v>2009.9800000000002</v>
      </c>
      <c r="J47" s="1">
        <f>ROUND(IF(AND(Kalkulator!$B$5="Umowa zlecenie",Kalkulator!$B$16="Student &lt;26 (bez ZUS/PIT)"),0,IF(OR(Kalkulator!$B$5="Umowa o pracę (UoP)",Kalkulator!$B$5="Umowa zlecenie"),(D47-I47)*'Założenia 2026'!$B$12,0)),2)</f>
        <v>1138.56</v>
      </c>
      <c r="K47" s="1">
        <f>ROUND(IF(AND(Kalkulator!$B$15="Tak",OR(Kalkulator!$B$5="Umowa o pracę (UoP)",AND(Kalkulator!$B$5="Umowa zlecenie",Kalkulator!$B$16="Pełne ZUS"))),D47*Kalkulator!$B$13,0),2)</f>
        <v>293.20999999999998</v>
      </c>
      <c r="L47" s="1">
        <f>ROUND(IF(AND(Kalkulator!$B$15="Tak",OR(Kalkulator!$B$5="Umowa o pracę (UoP)",AND(Kalkulator!$B$5="Umowa zlecenie",Kalkulator!$B$16="Pełne ZUS"))),D47*Kalkulator!$B$14,0),2)</f>
        <v>219.91</v>
      </c>
      <c r="M47" s="1">
        <f>IF(Kalkulator!$B$5="Umowa o pracę (UoP)",Kalkulator!$B$10,IF(Kalkulator!$B$5="Umowa zlecenie",(D47-I47)*'Założenia 2026'!$B$32,IF(Kalkulator!$B$5="Umowa o dzieło",D47*Kalkulator!$B$18,0)))</f>
        <v>250</v>
      </c>
      <c r="N47" s="1">
        <f>MAX(0,ROUND(IF(OR(Kalkulator!$B$5="Umowa o pracę (UoP)",Kalkulator!$B$5="Umowa zlecenie"),D47-I47-M47+L47,IF(Kalkulator!$B$5="Umowa o dzieło",D47-M47,0)),0))</f>
        <v>12621</v>
      </c>
      <c r="O47" s="1">
        <f>IF(AND(Kalkulator!$B$5="Umowa zlecenie",Kalkulator!$B$16="Student &lt;26 (bez ZUS/PIT)"),0,MAX(0,ROUND(IF(Kalkulator!$B$12+N47&lt;='Założenia 2026'!$B$3,(Kalkulator!$B$12+N47)*'Założenia 2026'!$B$4,'Założenia 2026'!$B$3*'Założenia 2026'!$B$4+(Kalkulator!$B$12+N47-'Założenia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1215</v>
      </c>
      <c r="P47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47" s="1">
        <f>IF(Kalkulator!$B$5&lt;&gt;"Samozatrudnienie (B2B)",0,IF(Kalkulator!$B$19="Ryczałt",IF(Kalkulator!$B$25+D47&lt;=60000,'Założenia 2026'!$B$27,IF(Kalkulator!$B$25+D47&lt;=300000,'Założenia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47" s="1">
        <f>MAX(0,D47-Kalkulator!$B$20-P47)</f>
        <v>13660.64453125</v>
      </c>
      <c r="S47" s="1">
        <f>IF(Kalkulator!$B$5&lt;&gt;"Samozatrudnienie (B2B)",0,IF(Kalkulator!$B$19="Skala podatkowa",MAX(0,ROUND(MAX(0,IF(Kalkulator!$B$24+R47&lt;='Założenia 2026'!$B$3,(Kalkulator!$B$24+R47)*'Założenia 2026'!$B$4,'Założenia 2026'!$B$3*'Założenia 2026'!$B$4+(Kalkulator!$B$24+R47-'Założenia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liniowy",MAX(0,ROUND(MAX(0,R47-MIN(Q47,MAX(0,'Założenia 2026'!$B$8-Kalkulator!$B$29)))*'Założenia 2026'!$B$7,0)),MAX(0,ROUND(MAX(0,D47-P47-0.5*Q47)*Kalkulator!$B$23,0)))))</f>
        <v>0</v>
      </c>
    </row>
    <row r="48" spans="1:19" x14ac:dyDescent="0.35">
      <c r="A48" s="1">
        <v>12</v>
      </c>
      <c r="B48" s="1">
        <f>IF(E47&lt;Kalkulator!$B$6,D47,B47)</f>
        <v>14648.4375</v>
      </c>
      <c r="C48" s="1">
        <f>IF(E47&gt;=Kalkulator!$B$6,D47,C47)</f>
        <v>14660.64453125</v>
      </c>
      <c r="D48" s="1">
        <f t="shared" si="1"/>
        <v>14654.541015625</v>
      </c>
      <c r="E48" s="1">
        <f>IF(Kalkulator!$B$5="Samozatrudnienie (B2B)",D48-Kalkulator!$B$20-P48-Q48-S48,D48-I48-J48-K48-O48)</f>
        <v>10000.221015625</v>
      </c>
      <c r="F48" s="1">
        <f>ROUND(IF(OR(Kalkulator!$B$5="Umowa o pracę (UoP)",AND(Kalkulator!$B$5="Umowa zlecenie",Kalkulator!$B$16="Pełne ZUS")),MAX(0,MIN(D48,'Założenia 2026'!$B$35-Kalkulator!$B$30))*'Założenia 2026'!$B$9,0),2)</f>
        <v>1430.28</v>
      </c>
      <c r="G48" s="1">
        <f>ROUND(IF(OR(Kalkulator!$B$5="Umowa o pracę (UoP)",AND(Kalkulator!$B$5="Umowa zlecenie",Kalkulator!$B$16="Pełne ZUS")),MAX(0,MIN(D48,'Założenia 2026'!$B$35-Kalkulator!$B$30))*'Założenia 2026'!$B$10,0),2)</f>
        <v>219.82</v>
      </c>
      <c r="H48" s="1">
        <f>ROUND(IF(OR(Kalkulator!$B$5="Umowa o pracę (UoP)",AND(Kalkulator!$B$5="Umowa zlecenie",Kalkulator!$B$16="Pełne ZUS",Kalkulator!$B$17="Tak")),D48*'Założenia 2026'!$B$11,0),2)</f>
        <v>359.04</v>
      </c>
      <c r="I48" s="1">
        <f t="shared" si="0"/>
        <v>2009.1399999999999</v>
      </c>
      <c r="J48" s="1">
        <f>ROUND(IF(AND(Kalkulator!$B$5="Umowa zlecenie",Kalkulator!$B$16="Student &lt;26 (bez ZUS/PIT)"),0,IF(OR(Kalkulator!$B$5="Umowa o pracę (UoP)",Kalkulator!$B$5="Umowa zlecenie"),(D48-I48)*'Założenia 2026'!$B$12,0)),2)</f>
        <v>1138.0899999999999</v>
      </c>
      <c r="K48" s="1">
        <f>ROUND(IF(AND(Kalkulator!$B$15="Tak",OR(Kalkulator!$B$5="Umowa o pracę (UoP)",AND(Kalkulator!$B$5="Umowa zlecenie",Kalkulator!$B$16="Pełne ZUS"))),D48*Kalkulator!$B$13,0),2)</f>
        <v>293.08999999999997</v>
      </c>
      <c r="L48" s="1">
        <f>ROUND(IF(AND(Kalkulator!$B$15="Tak",OR(Kalkulator!$B$5="Umowa o pracę (UoP)",AND(Kalkulator!$B$5="Umowa zlecenie",Kalkulator!$B$16="Pełne ZUS"))),D48*Kalkulator!$B$14,0),2)</f>
        <v>219.82</v>
      </c>
      <c r="M48" s="1">
        <f>IF(Kalkulator!$B$5="Umowa o pracę (UoP)",Kalkulator!$B$10,IF(Kalkulator!$B$5="Umowa zlecenie",(D48-I48)*'Założenia 2026'!$B$32,IF(Kalkulator!$B$5="Umowa o dzieło",D48*Kalkulator!$B$18,0)))</f>
        <v>250</v>
      </c>
      <c r="N48" s="1">
        <f>MAX(0,ROUND(IF(OR(Kalkulator!$B$5="Umowa o pracę (UoP)",Kalkulator!$B$5="Umowa zlecenie"),D48-I48-M48+L48,IF(Kalkulator!$B$5="Umowa o dzieło",D48-M48,0)),0))</f>
        <v>12615</v>
      </c>
      <c r="O48" s="1">
        <f>IF(AND(Kalkulator!$B$5="Umowa zlecenie",Kalkulator!$B$16="Student &lt;26 (bez ZUS/PIT)"),0,MAX(0,ROUND(IF(Kalkulator!$B$12+N48&lt;='Założenia 2026'!$B$3,(Kalkulator!$B$12+N48)*'Założenia 2026'!$B$4,'Założenia 2026'!$B$3*'Założenia 2026'!$B$4+(Kalkulator!$B$12+N48-'Założenia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48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48" s="1">
        <f>IF(Kalkulator!$B$5&lt;&gt;"Samozatrudnienie (B2B)",0,IF(Kalkulator!$B$19="Ryczałt",IF(Kalkulator!$B$25+D48&lt;=60000,'Założenia 2026'!$B$27,IF(Kalkulator!$B$25+D48&lt;=300000,'Założenia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48" s="1">
        <f>MAX(0,D48-Kalkulator!$B$20-P48)</f>
        <v>13654.541015625</v>
      </c>
      <c r="S48" s="1">
        <f>IF(Kalkulator!$B$5&lt;&gt;"Samozatrudnienie (B2B)",0,IF(Kalkulator!$B$19="Skala podatkowa",MAX(0,ROUND(MAX(0,IF(Kalkulator!$B$24+R48&lt;='Założenia 2026'!$B$3,(Kalkulator!$B$24+R48)*'Założenia 2026'!$B$4,'Założenia 2026'!$B$3*'Założenia 2026'!$B$4+(Kalkulator!$B$24+R48-'Założenia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liniowy",MAX(0,ROUND(MAX(0,R48-MIN(Q48,MAX(0,'Założenia 2026'!$B$8-Kalkulator!$B$29)))*'Założenia 2026'!$B$7,0)),MAX(0,ROUND(MAX(0,D48-P48-0.5*Q48)*Kalkulator!$B$23,0)))))</f>
        <v>0</v>
      </c>
    </row>
    <row r="49" spans="1:19" x14ac:dyDescent="0.35">
      <c r="A49" s="1">
        <v>13</v>
      </c>
      <c r="B49" s="1">
        <f>IF(E48&lt;Kalkulator!$B$6,D48,B48)</f>
        <v>14648.4375</v>
      </c>
      <c r="C49" s="1">
        <f>IF(E48&gt;=Kalkulator!$B$6,D48,C48)</f>
        <v>14654.541015625</v>
      </c>
      <c r="D49" s="1">
        <f t="shared" si="1"/>
        <v>14651.4892578125</v>
      </c>
      <c r="E49" s="1">
        <f>IF(Kalkulator!$B$5="Samozatrudnienie (B2B)",D49-Kalkulator!$B$20-P49-Q49-S49,D49-I49-J49-K49-O49)</f>
        <v>9997.8892578124996</v>
      </c>
      <c r="F49" s="1">
        <f>ROUND(IF(OR(Kalkulator!$B$5="Umowa o pracę (UoP)",AND(Kalkulator!$B$5="Umowa zlecenie",Kalkulator!$B$16="Pełne ZUS")),MAX(0,MIN(D49,'Założenia 2026'!$B$35-Kalkulator!$B$30))*'Założenia 2026'!$B$9,0),2)</f>
        <v>1429.99</v>
      </c>
      <c r="G49" s="1">
        <f>ROUND(IF(OR(Kalkulator!$B$5="Umowa o pracę (UoP)",AND(Kalkulator!$B$5="Umowa zlecenie",Kalkulator!$B$16="Pełne ZUS")),MAX(0,MIN(D49,'Założenia 2026'!$B$35-Kalkulator!$B$30))*'Założenia 2026'!$B$10,0),2)</f>
        <v>219.77</v>
      </c>
      <c r="H49" s="1">
        <f>ROUND(IF(OR(Kalkulator!$B$5="Umowa o pracę (UoP)",AND(Kalkulator!$B$5="Umowa zlecenie",Kalkulator!$B$16="Pełne ZUS",Kalkulator!$B$17="Tak")),D49*'Założenia 2026'!$B$11,0),2)</f>
        <v>358.96</v>
      </c>
      <c r="I49" s="1">
        <f t="shared" si="0"/>
        <v>2008.72</v>
      </c>
      <c r="J49" s="1">
        <f>ROUND(IF(AND(Kalkulator!$B$5="Umowa zlecenie",Kalkulator!$B$16="Student &lt;26 (bez ZUS/PIT)"),0,IF(OR(Kalkulator!$B$5="Umowa o pracę (UoP)",Kalkulator!$B$5="Umowa zlecenie"),(D49-I49)*'Założenia 2026'!$B$12,0)),2)</f>
        <v>1137.8499999999999</v>
      </c>
      <c r="K49" s="1">
        <f>ROUND(IF(AND(Kalkulator!$B$15="Tak",OR(Kalkulator!$B$5="Umowa o pracę (UoP)",AND(Kalkulator!$B$5="Umowa zlecenie",Kalkulator!$B$16="Pełne ZUS"))),D49*Kalkulator!$B$13,0),2)</f>
        <v>293.02999999999997</v>
      </c>
      <c r="L49" s="1">
        <f>ROUND(IF(AND(Kalkulator!$B$15="Tak",OR(Kalkulator!$B$5="Umowa o pracę (UoP)",AND(Kalkulator!$B$5="Umowa zlecenie",Kalkulator!$B$16="Pełne ZUS"))),D49*Kalkulator!$B$14,0),2)</f>
        <v>219.77</v>
      </c>
      <c r="M49" s="1">
        <f>IF(Kalkulator!$B$5="Umowa o pracę (UoP)",Kalkulator!$B$10,IF(Kalkulator!$B$5="Umowa zlecenie",(D49-I49)*'Założenia 2026'!$B$32,IF(Kalkulator!$B$5="Umowa o dzieło",D49*Kalkulator!$B$18,0)))</f>
        <v>250</v>
      </c>
      <c r="N49" s="1">
        <f>MAX(0,ROUND(IF(OR(Kalkulator!$B$5="Umowa o pracę (UoP)",Kalkulator!$B$5="Umowa zlecenie"),D49-I49-M49+L49,IF(Kalkulator!$B$5="Umowa o dzieło",D49-M49,0)),0))</f>
        <v>12613</v>
      </c>
      <c r="O49" s="1">
        <f>IF(AND(Kalkulator!$B$5="Umowa zlecenie",Kalkulator!$B$16="Student &lt;26 (bez ZUS/PIT)"),0,MAX(0,ROUND(IF(Kalkulator!$B$12+N49&lt;='Założenia 2026'!$B$3,(Kalkulator!$B$12+N49)*'Założenia 2026'!$B$4,'Założenia 2026'!$B$3*'Założenia 2026'!$B$4+(Kalkulator!$B$12+N49-'Założenia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49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49" s="1">
        <f>IF(Kalkulator!$B$5&lt;&gt;"Samozatrudnienie (B2B)",0,IF(Kalkulator!$B$19="Ryczałt",IF(Kalkulator!$B$25+D49&lt;=60000,'Założenia 2026'!$B$27,IF(Kalkulator!$B$25+D49&lt;=300000,'Założenia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49" s="1">
        <f>MAX(0,D49-Kalkulator!$B$20-P49)</f>
        <v>13651.4892578125</v>
      </c>
      <c r="S49" s="1">
        <f>IF(Kalkulator!$B$5&lt;&gt;"Samozatrudnienie (B2B)",0,IF(Kalkulator!$B$19="Skala podatkowa",MAX(0,ROUND(MAX(0,IF(Kalkulator!$B$24+R49&lt;='Założenia 2026'!$B$3,(Kalkulator!$B$24+R49)*'Założenia 2026'!$B$4,'Założenia 2026'!$B$3*'Założenia 2026'!$B$4+(Kalkulator!$B$24+R49-'Założenia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liniowy",MAX(0,ROUND(MAX(0,R49-MIN(Q49,MAX(0,'Założenia 2026'!$B$8-Kalkulator!$B$29)))*'Założenia 2026'!$B$7,0)),MAX(0,ROUND(MAX(0,D49-P49-0.5*Q49)*Kalkulator!$B$23,0)))))</f>
        <v>0</v>
      </c>
    </row>
    <row r="50" spans="1:19" x14ac:dyDescent="0.35">
      <c r="A50" s="1">
        <v>14</v>
      </c>
      <c r="B50" s="1">
        <f>IF(E49&lt;Kalkulator!$B$6,D49,B49)</f>
        <v>14651.4892578125</v>
      </c>
      <c r="C50" s="1">
        <f>IF(E49&gt;=Kalkulator!$B$6,D49,C49)</f>
        <v>14654.541015625</v>
      </c>
      <c r="D50" s="1">
        <f t="shared" si="1"/>
        <v>14653.01513671875</v>
      </c>
      <c r="E50" s="1">
        <f>IF(Kalkulator!$B$5="Samozatrudnienie (B2B)",D50-Kalkulator!$B$20-P50-Q50-S50,D50-I50-J50-K50-O50)</f>
        <v>9999.0551367187509</v>
      </c>
      <c r="F50" s="1">
        <f>ROUND(IF(OR(Kalkulator!$B$5="Umowa o pracę (UoP)",AND(Kalkulator!$B$5="Umowa zlecenie",Kalkulator!$B$16="Pełne ZUS")),MAX(0,MIN(D50,'Założenia 2026'!$B$35-Kalkulator!$B$30))*'Założenia 2026'!$B$9,0),2)</f>
        <v>1430.13</v>
      </c>
      <c r="G50" s="1">
        <f>ROUND(IF(OR(Kalkulator!$B$5="Umowa o pracę (UoP)",AND(Kalkulator!$B$5="Umowa zlecenie",Kalkulator!$B$16="Pełne ZUS")),MAX(0,MIN(D50,'Założenia 2026'!$B$35-Kalkulator!$B$30))*'Założenia 2026'!$B$10,0),2)</f>
        <v>219.8</v>
      </c>
      <c r="H50" s="1">
        <f>ROUND(IF(OR(Kalkulator!$B$5="Umowa o pracę (UoP)",AND(Kalkulator!$B$5="Umowa zlecenie",Kalkulator!$B$16="Pełne ZUS",Kalkulator!$B$17="Tak")),D50*'Założenia 2026'!$B$11,0),2)</f>
        <v>359</v>
      </c>
      <c r="I50" s="1">
        <f t="shared" si="0"/>
        <v>2008.93</v>
      </c>
      <c r="J50" s="1">
        <f>ROUND(IF(AND(Kalkulator!$B$5="Umowa zlecenie",Kalkulator!$B$16="Student &lt;26 (bez ZUS/PIT)"),0,IF(OR(Kalkulator!$B$5="Umowa o pracę (UoP)",Kalkulator!$B$5="Umowa zlecenie"),(D50-I50)*'Założenia 2026'!$B$12,0)),2)</f>
        <v>1137.97</v>
      </c>
      <c r="K50" s="1">
        <f>ROUND(IF(AND(Kalkulator!$B$15="Tak",OR(Kalkulator!$B$5="Umowa o pracę (UoP)",AND(Kalkulator!$B$5="Umowa zlecenie",Kalkulator!$B$16="Pełne ZUS"))),D50*Kalkulator!$B$13,0),2)</f>
        <v>293.06</v>
      </c>
      <c r="L50" s="1">
        <f>ROUND(IF(AND(Kalkulator!$B$15="Tak",OR(Kalkulator!$B$5="Umowa o pracę (UoP)",AND(Kalkulator!$B$5="Umowa zlecenie",Kalkulator!$B$16="Pełne ZUS"))),D50*Kalkulator!$B$14,0),2)</f>
        <v>219.8</v>
      </c>
      <c r="M50" s="1">
        <f>IF(Kalkulator!$B$5="Umowa o pracę (UoP)",Kalkulator!$B$10,IF(Kalkulator!$B$5="Umowa zlecenie",(D50-I50)*'Założenia 2026'!$B$32,IF(Kalkulator!$B$5="Umowa o dzieło",D50*Kalkulator!$B$18,0)))</f>
        <v>250</v>
      </c>
      <c r="N50" s="1">
        <f>MAX(0,ROUND(IF(OR(Kalkulator!$B$5="Umowa o pracę (UoP)",Kalkulator!$B$5="Umowa zlecenie"),D50-I50-M50+L50,IF(Kalkulator!$B$5="Umowa o dzieło",D50-M50,0)),0))</f>
        <v>12614</v>
      </c>
      <c r="O50" s="1">
        <f>IF(AND(Kalkulator!$B$5="Umowa zlecenie",Kalkulator!$B$16="Student &lt;26 (bez ZUS/PIT)"),0,MAX(0,ROUND(IF(Kalkulator!$B$12+N50&lt;='Założenia 2026'!$B$3,(Kalkulator!$B$12+N50)*'Założenia 2026'!$B$4,'Założenia 2026'!$B$3*'Założenia 2026'!$B$4+(Kalkulator!$B$12+N50-'Założenia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50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50" s="1">
        <f>IF(Kalkulator!$B$5&lt;&gt;"Samozatrudnienie (B2B)",0,IF(Kalkulator!$B$19="Ryczałt",IF(Kalkulator!$B$25+D50&lt;=60000,'Założenia 2026'!$B$27,IF(Kalkulator!$B$25+D50&lt;=300000,'Założenia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50" s="1">
        <f>MAX(0,D50-Kalkulator!$B$20-P50)</f>
        <v>13653.01513671875</v>
      </c>
      <c r="S50" s="1">
        <f>IF(Kalkulator!$B$5&lt;&gt;"Samozatrudnienie (B2B)",0,IF(Kalkulator!$B$19="Skala podatkowa",MAX(0,ROUND(MAX(0,IF(Kalkulator!$B$24+R50&lt;='Założenia 2026'!$B$3,(Kalkulator!$B$24+R50)*'Założenia 2026'!$B$4,'Założenia 2026'!$B$3*'Założenia 2026'!$B$4+(Kalkulator!$B$24+R50-'Założenia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liniowy",MAX(0,ROUND(MAX(0,R50-MIN(Q50,MAX(0,'Założenia 2026'!$B$8-Kalkulator!$B$29)))*'Założenia 2026'!$B$7,0)),MAX(0,ROUND(MAX(0,D50-P50-0.5*Q50)*Kalkulator!$B$23,0)))))</f>
        <v>0</v>
      </c>
    </row>
    <row r="51" spans="1:19" x14ac:dyDescent="0.35">
      <c r="A51" s="1">
        <v>15</v>
      </c>
      <c r="B51" s="1">
        <f>IF(E50&lt;Kalkulator!$B$6,D50,B50)</f>
        <v>14653.01513671875</v>
      </c>
      <c r="C51" s="1">
        <f>IF(E50&gt;=Kalkulator!$B$6,D50,C50)</f>
        <v>14654.541015625</v>
      </c>
      <c r="D51" s="1">
        <f t="shared" si="1"/>
        <v>14653.778076171875</v>
      </c>
      <c r="E51" s="1">
        <f>IF(Kalkulator!$B$5="Samozatrudnienie (B2B)",D51-Kalkulator!$B$20-P51-Q51-S51,D51-I51-J51-K51-O51)</f>
        <v>9999.6280761718735</v>
      </c>
      <c r="F51" s="1">
        <f>ROUND(IF(OR(Kalkulator!$B$5="Umowa o pracę (UoP)",AND(Kalkulator!$B$5="Umowa zlecenie",Kalkulator!$B$16="Pełne ZUS")),MAX(0,MIN(D51,'Założenia 2026'!$B$35-Kalkulator!$B$30))*'Założenia 2026'!$B$9,0),2)</f>
        <v>1430.21</v>
      </c>
      <c r="G51" s="1">
        <f>ROUND(IF(OR(Kalkulator!$B$5="Umowa o pracę (UoP)",AND(Kalkulator!$B$5="Umowa zlecenie",Kalkulator!$B$16="Pełne ZUS")),MAX(0,MIN(D51,'Założenia 2026'!$B$35-Kalkulator!$B$30))*'Założenia 2026'!$B$10,0),2)</f>
        <v>219.81</v>
      </c>
      <c r="H51" s="1">
        <f>ROUND(IF(OR(Kalkulator!$B$5="Umowa o pracę (UoP)",AND(Kalkulator!$B$5="Umowa zlecenie",Kalkulator!$B$16="Pełne ZUS",Kalkulator!$B$17="Tak")),D51*'Założenia 2026'!$B$11,0),2)</f>
        <v>359.02</v>
      </c>
      <c r="I51" s="1">
        <f t="shared" si="0"/>
        <v>2009.04</v>
      </c>
      <c r="J51" s="1">
        <f>ROUND(IF(AND(Kalkulator!$B$5="Umowa zlecenie",Kalkulator!$B$16="Student &lt;26 (bez ZUS/PIT)"),0,IF(OR(Kalkulator!$B$5="Umowa o pracę (UoP)",Kalkulator!$B$5="Umowa zlecenie"),(D51-I51)*'Założenia 2026'!$B$12,0)),2)</f>
        <v>1138.03</v>
      </c>
      <c r="K51" s="1">
        <f>ROUND(IF(AND(Kalkulator!$B$15="Tak",OR(Kalkulator!$B$5="Umowa o pracę (UoP)",AND(Kalkulator!$B$5="Umowa zlecenie",Kalkulator!$B$16="Pełne ZUS"))),D51*Kalkulator!$B$13,0),2)</f>
        <v>293.08</v>
      </c>
      <c r="L51" s="1">
        <f>ROUND(IF(AND(Kalkulator!$B$15="Tak",OR(Kalkulator!$B$5="Umowa o pracę (UoP)",AND(Kalkulator!$B$5="Umowa zlecenie",Kalkulator!$B$16="Pełne ZUS"))),D51*Kalkulator!$B$14,0),2)</f>
        <v>219.81</v>
      </c>
      <c r="M51" s="1">
        <f>IF(Kalkulator!$B$5="Umowa o pracę (UoP)",Kalkulator!$B$10,IF(Kalkulator!$B$5="Umowa zlecenie",(D51-I51)*'Założenia 2026'!$B$32,IF(Kalkulator!$B$5="Umowa o dzieło",D51*Kalkulator!$B$18,0)))</f>
        <v>250</v>
      </c>
      <c r="N51" s="1">
        <f>MAX(0,ROUND(IF(OR(Kalkulator!$B$5="Umowa o pracę (UoP)",Kalkulator!$B$5="Umowa zlecenie"),D51-I51-M51+L51,IF(Kalkulator!$B$5="Umowa o dzieło",D51-M51,0)),0))</f>
        <v>12615</v>
      </c>
      <c r="O51" s="1">
        <f>IF(AND(Kalkulator!$B$5="Umowa zlecenie",Kalkulator!$B$16="Student &lt;26 (bez ZUS/PIT)"),0,MAX(0,ROUND(IF(Kalkulator!$B$12+N51&lt;='Założenia 2026'!$B$3,(Kalkulator!$B$12+N51)*'Założenia 2026'!$B$4,'Założenia 2026'!$B$3*'Założenia 2026'!$B$4+(Kalkulator!$B$12+N51-'Założenia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51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51" s="1">
        <f>IF(Kalkulator!$B$5&lt;&gt;"Samozatrudnienie (B2B)",0,IF(Kalkulator!$B$19="Ryczałt",IF(Kalkulator!$B$25+D51&lt;=60000,'Założenia 2026'!$B$27,IF(Kalkulator!$B$25+D51&lt;=300000,'Założenia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51" s="1">
        <f>MAX(0,D51-Kalkulator!$B$20-P51)</f>
        <v>13653.778076171875</v>
      </c>
      <c r="S51" s="1">
        <f>IF(Kalkulator!$B$5&lt;&gt;"Samozatrudnienie (B2B)",0,IF(Kalkulator!$B$19="Skala podatkowa",MAX(0,ROUND(MAX(0,IF(Kalkulator!$B$24+R51&lt;='Założenia 2026'!$B$3,(Kalkulator!$B$24+R51)*'Założenia 2026'!$B$4,'Założenia 2026'!$B$3*'Założenia 2026'!$B$4+(Kalkulator!$B$24+R51-'Założenia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liniowy",MAX(0,ROUND(MAX(0,R51-MIN(Q51,MAX(0,'Założenia 2026'!$B$8-Kalkulator!$B$29)))*'Założenia 2026'!$B$7,0)),MAX(0,ROUND(MAX(0,D51-P51-0.5*Q51)*Kalkulator!$B$23,0)))))</f>
        <v>0</v>
      </c>
    </row>
    <row r="52" spans="1:19" x14ac:dyDescent="0.35">
      <c r="A52" s="1">
        <v>16</v>
      </c>
      <c r="B52" s="1">
        <f>IF(E51&lt;Kalkulator!$B$6,D51,B51)</f>
        <v>14653.778076171875</v>
      </c>
      <c r="C52" s="1">
        <f>IF(E51&gt;=Kalkulator!$B$6,D51,C51)</f>
        <v>14654.541015625</v>
      </c>
      <c r="D52" s="1">
        <f t="shared" si="1"/>
        <v>14654.159545898438</v>
      </c>
      <c r="E52" s="1">
        <f>IF(Kalkulator!$B$5="Samozatrudnienie (B2B)",D52-Kalkulator!$B$20-P52-Q52-S52,D52-I52-J52-K52-O52)</f>
        <v>9999.9295458984379</v>
      </c>
      <c r="F52" s="1">
        <f>ROUND(IF(OR(Kalkulator!$B$5="Umowa o pracę (UoP)",AND(Kalkulator!$B$5="Umowa zlecenie",Kalkulator!$B$16="Pełne ZUS")),MAX(0,MIN(D52,'Założenia 2026'!$B$35-Kalkulator!$B$30))*'Założenia 2026'!$B$9,0),2)</f>
        <v>1430.25</v>
      </c>
      <c r="G52" s="1">
        <f>ROUND(IF(OR(Kalkulator!$B$5="Umowa o pracę (UoP)",AND(Kalkulator!$B$5="Umowa zlecenie",Kalkulator!$B$16="Pełne ZUS")),MAX(0,MIN(D52,'Założenia 2026'!$B$35-Kalkulator!$B$30))*'Założenia 2026'!$B$10,0),2)</f>
        <v>219.81</v>
      </c>
      <c r="H52" s="1">
        <f>ROUND(IF(OR(Kalkulator!$B$5="Umowa o pracę (UoP)",AND(Kalkulator!$B$5="Umowa zlecenie",Kalkulator!$B$16="Pełne ZUS",Kalkulator!$B$17="Tak")),D52*'Założenia 2026'!$B$11,0),2)</f>
        <v>359.03</v>
      </c>
      <c r="I52" s="1">
        <f t="shared" si="0"/>
        <v>2009.09</v>
      </c>
      <c r="J52" s="1">
        <f>ROUND(IF(AND(Kalkulator!$B$5="Umowa zlecenie",Kalkulator!$B$16="Student &lt;26 (bez ZUS/PIT)"),0,IF(OR(Kalkulator!$B$5="Umowa o pracę (UoP)",Kalkulator!$B$5="Umowa zlecenie"),(D52-I52)*'Założenia 2026'!$B$12,0)),2)</f>
        <v>1138.06</v>
      </c>
      <c r="K52" s="1">
        <f>ROUND(IF(AND(Kalkulator!$B$15="Tak",OR(Kalkulator!$B$5="Umowa o pracę (UoP)",AND(Kalkulator!$B$5="Umowa zlecenie",Kalkulator!$B$16="Pełne ZUS"))),D52*Kalkulator!$B$13,0),2)</f>
        <v>293.08</v>
      </c>
      <c r="L52" s="1">
        <f>ROUND(IF(AND(Kalkulator!$B$15="Tak",OR(Kalkulator!$B$5="Umowa o pracę (UoP)",AND(Kalkulator!$B$5="Umowa zlecenie",Kalkulator!$B$16="Pełne ZUS"))),D52*Kalkulator!$B$14,0),2)</f>
        <v>219.81</v>
      </c>
      <c r="M52" s="1">
        <f>IF(Kalkulator!$B$5="Umowa o pracę (UoP)",Kalkulator!$B$10,IF(Kalkulator!$B$5="Umowa zlecenie",(D52-I52)*'Założenia 2026'!$B$32,IF(Kalkulator!$B$5="Umowa o dzieło",D52*Kalkulator!$B$18,0)))</f>
        <v>250</v>
      </c>
      <c r="N52" s="1">
        <f>MAX(0,ROUND(IF(OR(Kalkulator!$B$5="Umowa o pracę (UoP)",Kalkulator!$B$5="Umowa zlecenie"),D52-I52-M52+L52,IF(Kalkulator!$B$5="Umowa o dzieło",D52-M52,0)),0))</f>
        <v>12615</v>
      </c>
      <c r="O52" s="1">
        <f>IF(AND(Kalkulator!$B$5="Umowa zlecenie",Kalkulator!$B$16="Student &lt;26 (bez ZUS/PIT)"),0,MAX(0,ROUND(IF(Kalkulator!$B$12+N52&lt;='Założenia 2026'!$B$3,(Kalkulator!$B$12+N52)*'Założenia 2026'!$B$4,'Założenia 2026'!$B$3*'Założenia 2026'!$B$4+(Kalkulator!$B$12+N52-'Założenia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52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52" s="1">
        <f>IF(Kalkulator!$B$5&lt;&gt;"Samozatrudnienie (B2B)",0,IF(Kalkulator!$B$19="Ryczałt",IF(Kalkulator!$B$25+D52&lt;=60000,'Założenia 2026'!$B$27,IF(Kalkulator!$B$25+D52&lt;=300000,'Założenia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52" s="1">
        <f>MAX(0,D52-Kalkulator!$B$20-P52)</f>
        <v>13654.159545898438</v>
      </c>
      <c r="S52" s="1">
        <f>IF(Kalkulator!$B$5&lt;&gt;"Samozatrudnienie (B2B)",0,IF(Kalkulator!$B$19="Skala podatkowa",MAX(0,ROUND(MAX(0,IF(Kalkulator!$B$24+R52&lt;='Założenia 2026'!$B$3,(Kalkulator!$B$24+R52)*'Założenia 2026'!$B$4,'Założenia 2026'!$B$3*'Założenia 2026'!$B$4+(Kalkulator!$B$24+R52-'Założenia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liniowy",MAX(0,ROUND(MAX(0,R52-MIN(Q52,MAX(0,'Założenia 2026'!$B$8-Kalkulator!$B$29)))*'Założenia 2026'!$B$7,0)),MAX(0,ROUND(MAX(0,D52-P52-0.5*Q52)*Kalkulator!$B$23,0)))))</f>
        <v>0</v>
      </c>
    </row>
    <row r="53" spans="1:19" x14ac:dyDescent="0.35">
      <c r="A53" s="1">
        <v>17</v>
      </c>
      <c r="B53" s="1">
        <f>IF(E52&lt;Kalkulator!$B$6,D52,B52)</f>
        <v>14654.159545898438</v>
      </c>
      <c r="C53" s="1">
        <f>IF(E52&gt;=Kalkulator!$B$6,D52,C52)</f>
        <v>14654.541015625</v>
      </c>
      <c r="D53" s="1">
        <f t="shared" si="1"/>
        <v>14654.350280761719</v>
      </c>
      <c r="E53" s="1">
        <f>IF(Kalkulator!$B$5="Samozatrudnienie (B2B)",D53-Kalkulator!$B$20-P53-Q53-S53,D53-I53-J53-K53-O53)</f>
        <v>10000.080280761718</v>
      </c>
      <c r="F53" s="1">
        <f>ROUND(IF(OR(Kalkulator!$B$5="Umowa o pracę (UoP)",AND(Kalkulator!$B$5="Umowa zlecenie",Kalkulator!$B$16="Pełne ZUS")),MAX(0,MIN(D53,'Założenia 2026'!$B$35-Kalkulator!$B$30))*'Założenia 2026'!$B$9,0),2)</f>
        <v>1430.26</v>
      </c>
      <c r="G53" s="1">
        <f>ROUND(IF(OR(Kalkulator!$B$5="Umowa o pracę (UoP)",AND(Kalkulator!$B$5="Umowa zlecenie",Kalkulator!$B$16="Pełne ZUS")),MAX(0,MIN(D53,'Założenia 2026'!$B$35-Kalkulator!$B$30))*'Założenia 2026'!$B$10,0),2)</f>
        <v>219.82</v>
      </c>
      <c r="H53" s="1">
        <f>ROUND(IF(OR(Kalkulator!$B$5="Umowa o pracę (UoP)",AND(Kalkulator!$B$5="Umowa zlecenie",Kalkulator!$B$16="Pełne ZUS",Kalkulator!$B$17="Tak")),D53*'Założenia 2026'!$B$11,0),2)</f>
        <v>359.03</v>
      </c>
      <c r="I53" s="1">
        <f t="shared" si="0"/>
        <v>2009.11</v>
      </c>
      <c r="J53" s="1">
        <f>ROUND(IF(AND(Kalkulator!$B$5="Umowa zlecenie",Kalkulator!$B$16="Student &lt;26 (bez ZUS/PIT)"),0,IF(OR(Kalkulator!$B$5="Umowa o pracę (UoP)",Kalkulator!$B$5="Umowa zlecenie"),(D53-I53)*'Założenia 2026'!$B$12,0)),2)</f>
        <v>1138.07</v>
      </c>
      <c r="K53" s="1">
        <f>ROUND(IF(AND(Kalkulator!$B$15="Tak",OR(Kalkulator!$B$5="Umowa o pracę (UoP)",AND(Kalkulator!$B$5="Umowa zlecenie",Kalkulator!$B$16="Pełne ZUS"))),D53*Kalkulator!$B$13,0),2)</f>
        <v>293.08999999999997</v>
      </c>
      <c r="L53" s="1">
        <f>ROUND(IF(AND(Kalkulator!$B$15="Tak",OR(Kalkulator!$B$5="Umowa o pracę (UoP)",AND(Kalkulator!$B$5="Umowa zlecenie",Kalkulator!$B$16="Pełne ZUS"))),D53*Kalkulator!$B$14,0),2)</f>
        <v>219.82</v>
      </c>
      <c r="M53" s="1">
        <f>IF(Kalkulator!$B$5="Umowa o pracę (UoP)",Kalkulator!$B$10,IF(Kalkulator!$B$5="Umowa zlecenie",(D53-I53)*'Założenia 2026'!$B$32,IF(Kalkulator!$B$5="Umowa o dzieło",D53*Kalkulator!$B$18,0)))</f>
        <v>250</v>
      </c>
      <c r="N53" s="1">
        <f>MAX(0,ROUND(IF(OR(Kalkulator!$B$5="Umowa o pracę (UoP)",Kalkulator!$B$5="Umowa zlecenie"),D53-I53-M53+L53,IF(Kalkulator!$B$5="Umowa o dzieło",D53-M53,0)),0))</f>
        <v>12615</v>
      </c>
      <c r="O53" s="1">
        <f>IF(AND(Kalkulator!$B$5="Umowa zlecenie",Kalkulator!$B$16="Student &lt;26 (bez ZUS/PIT)"),0,MAX(0,ROUND(IF(Kalkulator!$B$12+N53&lt;='Założenia 2026'!$B$3,(Kalkulator!$B$12+N53)*'Założenia 2026'!$B$4,'Założenia 2026'!$B$3*'Założenia 2026'!$B$4+(Kalkulator!$B$12+N53-'Założenia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53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53" s="1">
        <f>IF(Kalkulator!$B$5&lt;&gt;"Samozatrudnienie (B2B)",0,IF(Kalkulator!$B$19="Ryczałt",IF(Kalkulator!$B$25+D53&lt;=60000,'Założenia 2026'!$B$27,IF(Kalkulator!$B$25+D53&lt;=300000,'Założenia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53" s="1">
        <f>MAX(0,D53-Kalkulator!$B$20-P53)</f>
        <v>13654.350280761719</v>
      </c>
      <c r="S53" s="1">
        <f>IF(Kalkulator!$B$5&lt;&gt;"Samozatrudnienie (B2B)",0,IF(Kalkulator!$B$19="Skala podatkowa",MAX(0,ROUND(MAX(0,IF(Kalkulator!$B$24+R53&lt;='Założenia 2026'!$B$3,(Kalkulator!$B$24+R53)*'Założenia 2026'!$B$4,'Założenia 2026'!$B$3*'Założenia 2026'!$B$4+(Kalkulator!$B$24+R53-'Założenia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liniowy",MAX(0,ROUND(MAX(0,R53-MIN(Q53,MAX(0,'Założenia 2026'!$B$8-Kalkulator!$B$29)))*'Założenia 2026'!$B$7,0)),MAX(0,ROUND(MAX(0,D53-P53-0.5*Q53)*Kalkulator!$B$23,0)))))</f>
        <v>0</v>
      </c>
    </row>
    <row r="54" spans="1:19" x14ac:dyDescent="0.35">
      <c r="A54" s="1">
        <v>18</v>
      </c>
      <c r="B54" s="1">
        <f>IF(E53&lt;Kalkulator!$B$6,D53,B53)</f>
        <v>14654.159545898438</v>
      </c>
      <c r="C54" s="1">
        <f>IF(E53&gt;=Kalkulator!$B$6,D53,C53)</f>
        <v>14654.350280761719</v>
      </c>
      <c r="D54" s="1">
        <f t="shared" si="1"/>
        <v>14654.254913330078</v>
      </c>
      <c r="E54" s="1">
        <f>IF(Kalkulator!$B$5="Samozatrudnienie (B2B)",D54-Kalkulator!$B$20-P54-Q54-S54,D54-I54-J54-K54-O54)</f>
        <v>10000.004913330078</v>
      </c>
      <c r="F54" s="1">
        <f>ROUND(IF(OR(Kalkulator!$B$5="Umowa o pracę (UoP)",AND(Kalkulator!$B$5="Umowa zlecenie",Kalkulator!$B$16="Pełne ZUS")),MAX(0,MIN(D54,'Założenia 2026'!$B$35-Kalkulator!$B$30))*'Założenia 2026'!$B$9,0),2)</f>
        <v>1430.26</v>
      </c>
      <c r="G54" s="1">
        <f>ROUND(IF(OR(Kalkulator!$B$5="Umowa o pracę (UoP)",AND(Kalkulator!$B$5="Umowa zlecenie",Kalkulator!$B$16="Pełne ZUS")),MAX(0,MIN(D54,'Założenia 2026'!$B$35-Kalkulator!$B$30))*'Założenia 2026'!$B$10,0),2)</f>
        <v>219.81</v>
      </c>
      <c r="H54" s="1">
        <f>ROUND(IF(OR(Kalkulator!$B$5="Umowa o pracę (UoP)",AND(Kalkulator!$B$5="Umowa zlecenie",Kalkulator!$B$16="Pełne ZUS",Kalkulator!$B$17="Tak")),D54*'Założenia 2026'!$B$11,0),2)</f>
        <v>359.03</v>
      </c>
      <c r="I54" s="1">
        <f t="shared" si="0"/>
        <v>2009.1</v>
      </c>
      <c r="J54" s="1">
        <f>ROUND(IF(AND(Kalkulator!$B$5="Umowa zlecenie",Kalkulator!$B$16="Student &lt;26 (bez ZUS/PIT)"),0,IF(OR(Kalkulator!$B$5="Umowa o pracę (UoP)",Kalkulator!$B$5="Umowa zlecenie"),(D54-I54)*'Założenia 2026'!$B$12,0)),2)</f>
        <v>1138.06</v>
      </c>
      <c r="K54" s="1">
        <f>ROUND(IF(AND(Kalkulator!$B$15="Tak",OR(Kalkulator!$B$5="Umowa o pracę (UoP)",AND(Kalkulator!$B$5="Umowa zlecenie",Kalkulator!$B$16="Pełne ZUS"))),D54*Kalkulator!$B$13,0),2)</f>
        <v>293.08999999999997</v>
      </c>
      <c r="L54" s="1">
        <f>ROUND(IF(AND(Kalkulator!$B$15="Tak",OR(Kalkulator!$B$5="Umowa o pracę (UoP)",AND(Kalkulator!$B$5="Umowa zlecenie",Kalkulator!$B$16="Pełne ZUS"))),D54*Kalkulator!$B$14,0),2)</f>
        <v>219.81</v>
      </c>
      <c r="M54" s="1">
        <f>IF(Kalkulator!$B$5="Umowa o pracę (UoP)",Kalkulator!$B$10,IF(Kalkulator!$B$5="Umowa zlecenie",(D54-I54)*'Założenia 2026'!$B$32,IF(Kalkulator!$B$5="Umowa o dzieło",D54*Kalkulator!$B$18,0)))</f>
        <v>250</v>
      </c>
      <c r="N54" s="1">
        <f>MAX(0,ROUND(IF(OR(Kalkulator!$B$5="Umowa o pracę (UoP)",Kalkulator!$B$5="Umowa zlecenie"),D54-I54-M54+L54,IF(Kalkulator!$B$5="Umowa o dzieło",D54-M54,0)),0))</f>
        <v>12615</v>
      </c>
      <c r="O54" s="1">
        <f>IF(AND(Kalkulator!$B$5="Umowa zlecenie",Kalkulator!$B$16="Student &lt;26 (bez ZUS/PIT)"),0,MAX(0,ROUND(IF(Kalkulator!$B$12+N54&lt;='Założenia 2026'!$B$3,(Kalkulator!$B$12+N54)*'Założenia 2026'!$B$4,'Założenia 2026'!$B$3*'Założenia 2026'!$B$4+(Kalkulator!$B$12+N54-'Założenia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54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54" s="1">
        <f>IF(Kalkulator!$B$5&lt;&gt;"Samozatrudnienie (B2B)",0,IF(Kalkulator!$B$19="Ryczałt",IF(Kalkulator!$B$25+D54&lt;=60000,'Założenia 2026'!$B$27,IF(Kalkulator!$B$25+D54&lt;=300000,'Założenia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54" s="1">
        <f>MAX(0,D54-Kalkulator!$B$20-P54)</f>
        <v>13654.254913330078</v>
      </c>
      <c r="S54" s="1">
        <f>IF(Kalkulator!$B$5&lt;&gt;"Samozatrudnienie (B2B)",0,IF(Kalkulator!$B$19="Skala podatkowa",MAX(0,ROUND(MAX(0,IF(Kalkulator!$B$24+R54&lt;='Założenia 2026'!$B$3,(Kalkulator!$B$24+R54)*'Założenia 2026'!$B$4,'Założenia 2026'!$B$3*'Założenia 2026'!$B$4+(Kalkulator!$B$24+R54-'Założenia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liniowy",MAX(0,ROUND(MAX(0,R54-MIN(Q54,MAX(0,'Założenia 2026'!$B$8-Kalkulator!$B$29)))*'Założenia 2026'!$B$7,0)),MAX(0,ROUND(MAX(0,D54-P54-0.5*Q54)*Kalkulator!$B$23,0)))))</f>
        <v>0</v>
      </c>
    </row>
    <row r="55" spans="1:19" x14ac:dyDescent="0.35">
      <c r="A55" s="1">
        <v>19</v>
      </c>
      <c r="B55" s="1">
        <f>IF(E54&lt;Kalkulator!$B$6,D54,B54)</f>
        <v>14654.159545898438</v>
      </c>
      <c r="C55" s="1">
        <f>IF(E54&gt;=Kalkulator!$B$6,D54,C54)</f>
        <v>14654.254913330078</v>
      </c>
      <c r="D55" s="1">
        <f t="shared" si="1"/>
        <v>14654.207229614258</v>
      </c>
      <c r="E55" s="1">
        <f>IF(Kalkulator!$B$5="Samozatrudnienie (B2B)",D55-Kalkulator!$B$20-P55-Q55-S55,D55-I55-J55-K55-O55)</f>
        <v>9999.9772296142582</v>
      </c>
      <c r="F55" s="1">
        <f>ROUND(IF(OR(Kalkulator!$B$5="Umowa o pracę (UoP)",AND(Kalkulator!$B$5="Umowa zlecenie",Kalkulator!$B$16="Pełne ZUS")),MAX(0,MIN(D55,'Założenia 2026'!$B$35-Kalkulator!$B$30))*'Założenia 2026'!$B$9,0),2)</f>
        <v>1430.25</v>
      </c>
      <c r="G55" s="1">
        <f>ROUND(IF(OR(Kalkulator!$B$5="Umowa o pracę (UoP)",AND(Kalkulator!$B$5="Umowa zlecenie",Kalkulator!$B$16="Pełne ZUS")),MAX(0,MIN(D55,'Założenia 2026'!$B$35-Kalkulator!$B$30))*'Założenia 2026'!$B$10,0),2)</f>
        <v>219.81</v>
      </c>
      <c r="H55" s="1">
        <f>ROUND(IF(OR(Kalkulator!$B$5="Umowa o pracę (UoP)",AND(Kalkulator!$B$5="Umowa zlecenie",Kalkulator!$B$16="Pełne ZUS",Kalkulator!$B$17="Tak")),D55*'Założenia 2026'!$B$11,0),2)</f>
        <v>359.03</v>
      </c>
      <c r="I55" s="1">
        <f t="shared" si="0"/>
        <v>2009.09</v>
      </c>
      <c r="J55" s="1">
        <f>ROUND(IF(AND(Kalkulator!$B$5="Umowa zlecenie",Kalkulator!$B$16="Student &lt;26 (bez ZUS/PIT)"),0,IF(OR(Kalkulator!$B$5="Umowa o pracę (UoP)",Kalkulator!$B$5="Umowa zlecenie"),(D55-I55)*'Założenia 2026'!$B$12,0)),2)</f>
        <v>1138.06</v>
      </c>
      <c r="K55" s="1">
        <f>ROUND(IF(AND(Kalkulator!$B$15="Tak",OR(Kalkulator!$B$5="Umowa o pracę (UoP)",AND(Kalkulator!$B$5="Umowa zlecenie",Kalkulator!$B$16="Pełne ZUS"))),D55*Kalkulator!$B$13,0),2)</f>
        <v>293.08</v>
      </c>
      <c r="L55" s="1">
        <f>ROUND(IF(AND(Kalkulator!$B$15="Tak",OR(Kalkulator!$B$5="Umowa o pracę (UoP)",AND(Kalkulator!$B$5="Umowa zlecenie",Kalkulator!$B$16="Pełne ZUS"))),D55*Kalkulator!$B$14,0),2)</f>
        <v>219.81</v>
      </c>
      <c r="M55" s="1">
        <f>IF(Kalkulator!$B$5="Umowa o pracę (UoP)",Kalkulator!$B$10,IF(Kalkulator!$B$5="Umowa zlecenie",(D55-I55)*'Założenia 2026'!$B$32,IF(Kalkulator!$B$5="Umowa o dzieło",D55*Kalkulator!$B$18,0)))</f>
        <v>250</v>
      </c>
      <c r="N55" s="1">
        <f>MAX(0,ROUND(IF(OR(Kalkulator!$B$5="Umowa o pracę (UoP)",Kalkulator!$B$5="Umowa zlecenie"),D55-I55-M55+L55,IF(Kalkulator!$B$5="Umowa o dzieło",D55-M55,0)),0))</f>
        <v>12615</v>
      </c>
      <c r="O55" s="1">
        <f>IF(AND(Kalkulator!$B$5="Umowa zlecenie",Kalkulator!$B$16="Student &lt;26 (bez ZUS/PIT)"),0,MAX(0,ROUND(IF(Kalkulator!$B$12+N55&lt;='Założenia 2026'!$B$3,(Kalkulator!$B$12+N55)*'Założenia 2026'!$B$4,'Założenia 2026'!$B$3*'Założenia 2026'!$B$4+(Kalkulator!$B$12+N55-'Założenia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55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55" s="1">
        <f>IF(Kalkulator!$B$5&lt;&gt;"Samozatrudnienie (B2B)",0,IF(Kalkulator!$B$19="Ryczałt",IF(Kalkulator!$B$25+D55&lt;=60000,'Założenia 2026'!$B$27,IF(Kalkulator!$B$25+D55&lt;=300000,'Założenia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55" s="1">
        <f>MAX(0,D55-Kalkulator!$B$20-P55)</f>
        <v>13654.207229614258</v>
      </c>
      <c r="S55" s="1">
        <f>IF(Kalkulator!$B$5&lt;&gt;"Samozatrudnienie (B2B)",0,IF(Kalkulator!$B$19="Skala podatkowa",MAX(0,ROUND(MAX(0,IF(Kalkulator!$B$24+R55&lt;='Założenia 2026'!$B$3,(Kalkulator!$B$24+R55)*'Założenia 2026'!$B$4,'Założenia 2026'!$B$3*'Założenia 2026'!$B$4+(Kalkulator!$B$24+R55-'Założenia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liniowy",MAX(0,ROUND(MAX(0,R55-MIN(Q55,MAX(0,'Założenia 2026'!$B$8-Kalkulator!$B$29)))*'Założenia 2026'!$B$7,0)),MAX(0,ROUND(MAX(0,D55-P55-0.5*Q55)*Kalkulator!$B$23,0)))))</f>
        <v>0</v>
      </c>
    </row>
    <row r="56" spans="1:19" x14ac:dyDescent="0.35">
      <c r="A56" s="1">
        <v>20</v>
      </c>
      <c r="B56" s="1">
        <f>IF(E55&lt;Kalkulator!$B$6,D55,B55)</f>
        <v>14654.207229614258</v>
      </c>
      <c r="C56" s="1">
        <f>IF(E55&gt;=Kalkulator!$B$6,D55,C55)</f>
        <v>14654.254913330078</v>
      </c>
      <c r="D56" s="1">
        <f t="shared" si="1"/>
        <v>14654.231071472168</v>
      </c>
      <c r="E56" s="1">
        <f>IF(Kalkulator!$B$5="Samozatrudnienie (B2B)",D56-Kalkulator!$B$20-P56-Q56-S56,D56-I56-J56-K56-O56)</f>
        <v>10000.001071472168</v>
      </c>
      <c r="F56" s="1">
        <f>ROUND(IF(OR(Kalkulator!$B$5="Umowa o pracę (UoP)",AND(Kalkulator!$B$5="Umowa zlecenie",Kalkulator!$B$16="Pełne ZUS")),MAX(0,MIN(D56,'Założenia 2026'!$B$35-Kalkulator!$B$30))*'Założenia 2026'!$B$9,0),2)</f>
        <v>1430.25</v>
      </c>
      <c r="G56" s="1">
        <f>ROUND(IF(OR(Kalkulator!$B$5="Umowa o pracę (UoP)",AND(Kalkulator!$B$5="Umowa zlecenie",Kalkulator!$B$16="Pełne ZUS")),MAX(0,MIN(D56,'Założenia 2026'!$B$35-Kalkulator!$B$30))*'Założenia 2026'!$B$10,0),2)</f>
        <v>219.81</v>
      </c>
      <c r="H56" s="1">
        <f>ROUND(IF(OR(Kalkulator!$B$5="Umowa o pracę (UoP)",AND(Kalkulator!$B$5="Umowa zlecenie",Kalkulator!$B$16="Pełne ZUS",Kalkulator!$B$17="Tak")),D56*'Założenia 2026'!$B$11,0),2)</f>
        <v>359.03</v>
      </c>
      <c r="I56" s="1">
        <f t="shared" si="0"/>
        <v>2009.09</v>
      </c>
      <c r="J56" s="1">
        <f>ROUND(IF(AND(Kalkulator!$B$5="Umowa zlecenie",Kalkulator!$B$16="Student &lt;26 (bez ZUS/PIT)"),0,IF(OR(Kalkulator!$B$5="Umowa o pracę (UoP)",Kalkulator!$B$5="Umowa zlecenie"),(D56-I56)*'Założenia 2026'!$B$12,0)),2)</f>
        <v>1138.06</v>
      </c>
      <c r="K56" s="1">
        <f>ROUND(IF(AND(Kalkulator!$B$15="Tak",OR(Kalkulator!$B$5="Umowa o pracę (UoP)",AND(Kalkulator!$B$5="Umowa zlecenie",Kalkulator!$B$16="Pełne ZUS"))),D56*Kalkulator!$B$13,0),2)</f>
        <v>293.08</v>
      </c>
      <c r="L56" s="1">
        <f>ROUND(IF(AND(Kalkulator!$B$15="Tak",OR(Kalkulator!$B$5="Umowa o pracę (UoP)",AND(Kalkulator!$B$5="Umowa zlecenie",Kalkulator!$B$16="Pełne ZUS"))),D56*Kalkulator!$B$14,0),2)</f>
        <v>219.81</v>
      </c>
      <c r="M56" s="1">
        <f>IF(Kalkulator!$B$5="Umowa o pracę (UoP)",Kalkulator!$B$10,IF(Kalkulator!$B$5="Umowa zlecenie",(D56-I56)*'Założenia 2026'!$B$32,IF(Kalkulator!$B$5="Umowa o dzieło",D56*Kalkulator!$B$18,0)))</f>
        <v>250</v>
      </c>
      <c r="N56" s="1">
        <f>MAX(0,ROUND(IF(OR(Kalkulator!$B$5="Umowa o pracę (UoP)",Kalkulator!$B$5="Umowa zlecenie"),D56-I56-M56+L56,IF(Kalkulator!$B$5="Umowa o dzieło",D56-M56,0)),0))</f>
        <v>12615</v>
      </c>
      <c r="O56" s="1">
        <f>IF(AND(Kalkulator!$B$5="Umowa zlecenie",Kalkulator!$B$16="Student &lt;26 (bez ZUS/PIT)"),0,MAX(0,ROUND(IF(Kalkulator!$B$12+N56&lt;='Założenia 2026'!$B$3,(Kalkulator!$B$12+N56)*'Założenia 2026'!$B$4,'Założenia 2026'!$B$3*'Założenia 2026'!$B$4+(Kalkulator!$B$12+N56-'Założenia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56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56" s="1">
        <f>IF(Kalkulator!$B$5&lt;&gt;"Samozatrudnienie (B2B)",0,IF(Kalkulator!$B$19="Ryczałt",IF(Kalkulator!$B$25+D56&lt;=60000,'Założenia 2026'!$B$27,IF(Kalkulator!$B$25+D56&lt;=300000,'Założenia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56" s="1">
        <f>MAX(0,D56-Kalkulator!$B$20-P56)</f>
        <v>13654.231071472168</v>
      </c>
      <c r="S56" s="1">
        <f>IF(Kalkulator!$B$5&lt;&gt;"Samozatrudnienie (B2B)",0,IF(Kalkulator!$B$19="Skala podatkowa",MAX(0,ROUND(MAX(0,IF(Kalkulator!$B$24+R56&lt;='Założenia 2026'!$B$3,(Kalkulator!$B$24+R56)*'Założenia 2026'!$B$4,'Założenia 2026'!$B$3*'Założenia 2026'!$B$4+(Kalkulator!$B$24+R56-'Założenia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liniowy",MAX(0,ROUND(MAX(0,R56-MIN(Q56,MAX(0,'Założenia 2026'!$B$8-Kalkulator!$B$29)))*'Założenia 2026'!$B$7,0)),MAX(0,ROUND(MAX(0,D56-P56-0.5*Q56)*Kalkulator!$B$23,0)))))</f>
        <v>0</v>
      </c>
    </row>
    <row r="57" spans="1:19" x14ac:dyDescent="0.35">
      <c r="A57" s="1">
        <v>21</v>
      </c>
      <c r="B57" s="1">
        <f>IF(E56&lt;Kalkulator!$B$6,D56,B56)</f>
        <v>14654.207229614258</v>
      </c>
      <c r="C57" s="1">
        <f>IF(E56&gt;=Kalkulator!$B$6,D56,C56)</f>
        <v>14654.231071472168</v>
      </c>
      <c r="D57" s="1">
        <f t="shared" si="1"/>
        <v>14654.219150543213</v>
      </c>
      <c r="E57" s="1">
        <f>IF(Kalkulator!$B$5="Samozatrudnienie (B2B)",D57-Kalkulator!$B$20-P57-Q57-S57,D57-I57-J57-K57-O57)</f>
        <v>9999.9891505432133</v>
      </c>
      <c r="F57" s="1">
        <f>ROUND(IF(OR(Kalkulator!$B$5="Umowa o pracę (UoP)",AND(Kalkulator!$B$5="Umowa zlecenie",Kalkulator!$B$16="Pełne ZUS")),MAX(0,MIN(D57,'Założenia 2026'!$B$35-Kalkulator!$B$30))*'Założenia 2026'!$B$9,0),2)</f>
        <v>1430.25</v>
      </c>
      <c r="G57" s="1">
        <f>ROUND(IF(OR(Kalkulator!$B$5="Umowa o pracę (UoP)",AND(Kalkulator!$B$5="Umowa zlecenie",Kalkulator!$B$16="Pełne ZUS")),MAX(0,MIN(D57,'Założenia 2026'!$B$35-Kalkulator!$B$30))*'Założenia 2026'!$B$10,0),2)</f>
        <v>219.81</v>
      </c>
      <c r="H57" s="1">
        <f>ROUND(IF(OR(Kalkulator!$B$5="Umowa o pracę (UoP)",AND(Kalkulator!$B$5="Umowa zlecenie",Kalkulator!$B$16="Pełne ZUS",Kalkulator!$B$17="Tak")),D57*'Założenia 2026'!$B$11,0),2)</f>
        <v>359.03</v>
      </c>
      <c r="I57" s="1">
        <f t="shared" si="0"/>
        <v>2009.09</v>
      </c>
      <c r="J57" s="1">
        <f>ROUND(IF(AND(Kalkulator!$B$5="Umowa zlecenie",Kalkulator!$B$16="Student &lt;26 (bez ZUS/PIT)"),0,IF(OR(Kalkulator!$B$5="Umowa o pracę (UoP)",Kalkulator!$B$5="Umowa zlecenie"),(D57-I57)*'Założenia 2026'!$B$12,0)),2)</f>
        <v>1138.06</v>
      </c>
      <c r="K57" s="1">
        <f>ROUND(IF(AND(Kalkulator!$B$15="Tak",OR(Kalkulator!$B$5="Umowa o pracę (UoP)",AND(Kalkulator!$B$5="Umowa zlecenie",Kalkulator!$B$16="Pełne ZUS"))),D57*Kalkulator!$B$13,0),2)</f>
        <v>293.08</v>
      </c>
      <c r="L57" s="1">
        <f>ROUND(IF(AND(Kalkulator!$B$15="Tak",OR(Kalkulator!$B$5="Umowa o pracę (UoP)",AND(Kalkulator!$B$5="Umowa zlecenie",Kalkulator!$B$16="Pełne ZUS"))),D57*Kalkulator!$B$14,0),2)</f>
        <v>219.81</v>
      </c>
      <c r="M57" s="1">
        <f>IF(Kalkulator!$B$5="Umowa o pracę (UoP)",Kalkulator!$B$10,IF(Kalkulator!$B$5="Umowa zlecenie",(D57-I57)*'Założenia 2026'!$B$32,IF(Kalkulator!$B$5="Umowa o dzieło",D57*Kalkulator!$B$18,0)))</f>
        <v>250</v>
      </c>
      <c r="N57" s="1">
        <f>MAX(0,ROUND(IF(OR(Kalkulator!$B$5="Umowa o pracę (UoP)",Kalkulator!$B$5="Umowa zlecenie"),D57-I57-M57+L57,IF(Kalkulator!$B$5="Umowa o dzieło",D57-M57,0)),0))</f>
        <v>12615</v>
      </c>
      <c r="O57" s="1">
        <f>IF(AND(Kalkulator!$B$5="Umowa zlecenie",Kalkulator!$B$16="Student &lt;26 (bez ZUS/PIT)"),0,MAX(0,ROUND(IF(Kalkulator!$B$12+N57&lt;='Założenia 2026'!$B$3,(Kalkulator!$B$12+N57)*'Założenia 2026'!$B$4,'Założenia 2026'!$B$3*'Założenia 2026'!$B$4+(Kalkulator!$B$12+N57-'Założenia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57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57" s="1">
        <f>IF(Kalkulator!$B$5&lt;&gt;"Samozatrudnienie (B2B)",0,IF(Kalkulator!$B$19="Ryczałt",IF(Kalkulator!$B$25+D57&lt;=60000,'Założenia 2026'!$B$27,IF(Kalkulator!$B$25+D57&lt;=300000,'Założenia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57" s="1">
        <f>MAX(0,D57-Kalkulator!$B$20-P57)</f>
        <v>13654.219150543213</v>
      </c>
      <c r="S57" s="1">
        <f>IF(Kalkulator!$B$5&lt;&gt;"Samozatrudnienie (B2B)",0,IF(Kalkulator!$B$19="Skala podatkowa",MAX(0,ROUND(MAX(0,IF(Kalkulator!$B$24+R57&lt;='Założenia 2026'!$B$3,(Kalkulator!$B$24+R57)*'Założenia 2026'!$B$4,'Założenia 2026'!$B$3*'Założenia 2026'!$B$4+(Kalkulator!$B$24+R57-'Założenia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liniowy",MAX(0,ROUND(MAX(0,R57-MIN(Q57,MAX(0,'Założenia 2026'!$B$8-Kalkulator!$B$29)))*'Założenia 2026'!$B$7,0)),MAX(0,ROUND(MAX(0,D57-P57-0.5*Q57)*Kalkulator!$B$23,0)))))</f>
        <v>0</v>
      </c>
    </row>
    <row r="58" spans="1:19" x14ac:dyDescent="0.35">
      <c r="A58" s="1">
        <v>22</v>
      </c>
      <c r="B58" s="1">
        <f>IF(E57&lt;Kalkulator!$B$6,D57,B57)</f>
        <v>14654.219150543213</v>
      </c>
      <c r="C58" s="1">
        <f>IF(E57&gt;=Kalkulator!$B$6,D57,C57)</f>
        <v>14654.231071472168</v>
      </c>
      <c r="D58" s="1">
        <f t="shared" si="1"/>
        <v>14654.22511100769</v>
      </c>
      <c r="E58" s="1">
        <f>IF(Kalkulator!$B$5="Samozatrudnienie (B2B)",D58-Kalkulator!$B$20-P58-Q58-S58,D58-I58-J58-K58-O58)</f>
        <v>9999.9951110076909</v>
      </c>
      <c r="F58" s="1">
        <f>ROUND(IF(OR(Kalkulator!$B$5="Umowa o pracę (UoP)",AND(Kalkulator!$B$5="Umowa zlecenie",Kalkulator!$B$16="Pełne ZUS")),MAX(0,MIN(D58,'Założenia 2026'!$B$35-Kalkulator!$B$30))*'Założenia 2026'!$B$9,0),2)</f>
        <v>1430.25</v>
      </c>
      <c r="G58" s="1">
        <f>ROUND(IF(OR(Kalkulator!$B$5="Umowa o pracę (UoP)",AND(Kalkulator!$B$5="Umowa zlecenie",Kalkulator!$B$16="Pełne ZUS")),MAX(0,MIN(D58,'Założenia 2026'!$B$35-Kalkulator!$B$30))*'Założenia 2026'!$B$10,0),2)</f>
        <v>219.81</v>
      </c>
      <c r="H58" s="1">
        <f>ROUND(IF(OR(Kalkulator!$B$5="Umowa o pracę (UoP)",AND(Kalkulator!$B$5="Umowa zlecenie",Kalkulator!$B$16="Pełne ZUS",Kalkulator!$B$17="Tak")),D58*'Założenia 2026'!$B$11,0),2)</f>
        <v>359.03</v>
      </c>
      <c r="I58" s="1">
        <f t="shared" si="0"/>
        <v>2009.09</v>
      </c>
      <c r="J58" s="1">
        <f>ROUND(IF(AND(Kalkulator!$B$5="Umowa zlecenie",Kalkulator!$B$16="Student &lt;26 (bez ZUS/PIT)"),0,IF(OR(Kalkulator!$B$5="Umowa o pracę (UoP)",Kalkulator!$B$5="Umowa zlecenie"),(D58-I58)*'Założenia 2026'!$B$12,0)),2)</f>
        <v>1138.06</v>
      </c>
      <c r="K58" s="1">
        <f>ROUND(IF(AND(Kalkulator!$B$15="Tak",OR(Kalkulator!$B$5="Umowa o pracę (UoP)",AND(Kalkulator!$B$5="Umowa zlecenie",Kalkulator!$B$16="Pełne ZUS"))),D58*Kalkulator!$B$13,0),2)</f>
        <v>293.08</v>
      </c>
      <c r="L58" s="1">
        <f>ROUND(IF(AND(Kalkulator!$B$15="Tak",OR(Kalkulator!$B$5="Umowa o pracę (UoP)",AND(Kalkulator!$B$5="Umowa zlecenie",Kalkulator!$B$16="Pełne ZUS"))),D58*Kalkulator!$B$14,0),2)</f>
        <v>219.81</v>
      </c>
      <c r="M58" s="1">
        <f>IF(Kalkulator!$B$5="Umowa o pracę (UoP)",Kalkulator!$B$10,IF(Kalkulator!$B$5="Umowa zlecenie",(D58-I58)*'Założenia 2026'!$B$32,IF(Kalkulator!$B$5="Umowa o dzieło",D58*Kalkulator!$B$18,0)))</f>
        <v>250</v>
      </c>
      <c r="N58" s="1">
        <f>MAX(0,ROUND(IF(OR(Kalkulator!$B$5="Umowa o pracę (UoP)",Kalkulator!$B$5="Umowa zlecenie"),D58-I58-M58+L58,IF(Kalkulator!$B$5="Umowa o dzieło",D58-M58,0)),0))</f>
        <v>12615</v>
      </c>
      <c r="O58" s="1">
        <f>IF(AND(Kalkulator!$B$5="Umowa zlecenie",Kalkulator!$B$16="Student &lt;26 (bez ZUS/PIT)"),0,MAX(0,ROUND(IF(Kalkulator!$B$12+N58&lt;='Założenia 2026'!$B$3,(Kalkulator!$B$12+N58)*'Założenia 2026'!$B$4,'Założenia 2026'!$B$3*'Założenia 2026'!$B$4+(Kalkulator!$B$12+N58-'Założenia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58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58" s="1">
        <f>IF(Kalkulator!$B$5&lt;&gt;"Samozatrudnienie (B2B)",0,IF(Kalkulator!$B$19="Ryczałt",IF(Kalkulator!$B$25+D58&lt;=60000,'Założenia 2026'!$B$27,IF(Kalkulator!$B$25+D58&lt;=300000,'Założenia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58" s="1">
        <f>MAX(0,D58-Kalkulator!$B$20-P58)</f>
        <v>13654.22511100769</v>
      </c>
      <c r="S58" s="1">
        <f>IF(Kalkulator!$B$5&lt;&gt;"Samozatrudnienie (B2B)",0,IF(Kalkulator!$B$19="Skala podatkowa",MAX(0,ROUND(MAX(0,IF(Kalkulator!$B$24+R58&lt;='Założenia 2026'!$B$3,(Kalkulator!$B$24+R58)*'Założenia 2026'!$B$4,'Założenia 2026'!$B$3*'Założenia 2026'!$B$4+(Kalkulator!$B$24+R58-'Założenia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liniowy",MAX(0,ROUND(MAX(0,R58-MIN(Q58,MAX(0,'Założenia 2026'!$B$8-Kalkulator!$B$29)))*'Założenia 2026'!$B$7,0)),MAX(0,ROUND(MAX(0,D58-P58-0.5*Q58)*Kalkulator!$B$23,0)))))</f>
        <v>0</v>
      </c>
    </row>
    <row r="59" spans="1:19" x14ac:dyDescent="0.35">
      <c r="A59" s="1">
        <v>23</v>
      </c>
      <c r="B59" s="1">
        <f>IF(E58&lt;Kalkulator!$B$6,D58,B58)</f>
        <v>14654.22511100769</v>
      </c>
      <c r="C59" s="1">
        <f>IF(E58&gt;=Kalkulator!$B$6,D58,C58)</f>
        <v>14654.231071472168</v>
      </c>
      <c r="D59" s="1">
        <f t="shared" si="1"/>
        <v>14654.228091239929</v>
      </c>
      <c r="E59" s="1">
        <f>IF(Kalkulator!$B$5="Samozatrudnienie (B2B)",D59-Kalkulator!$B$20-P59-Q59-S59,D59-I59-J59-K59-O59)</f>
        <v>9999.9980912399296</v>
      </c>
      <c r="F59" s="1">
        <f>ROUND(IF(OR(Kalkulator!$B$5="Umowa o pracę (UoP)",AND(Kalkulator!$B$5="Umowa zlecenie",Kalkulator!$B$16="Pełne ZUS")),MAX(0,MIN(D59,'Założenia 2026'!$B$35-Kalkulator!$B$30))*'Założenia 2026'!$B$9,0),2)</f>
        <v>1430.25</v>
      </c>
      <c r="G59" s="1">
        <f>ROUND(IF(OR(Kalkulator!$B$5="Umowa o pracę (UoP)",AND(Kalkulator!$B$5="Umowa zlecenie",Kalkulator!$B$16="Pełne ZUS")),MAX(0,MIN(D59,'Założenia 2026'!$B$35-Kalkulator!$B$30))*'Założenia 2026'!$B$10,0),2)</f>
        <v>219.81</v>
      </c>
      <c r="H59" s="1">
        <f>ROUND(IF(OR(Kalkulator!$B$5="Umowa o pracę (UoP)",AND(Kalkulator!$B$5="Umowa zlecenie",Kalkulator!$B$16="Pełne ZUS",Kalkulator!$B$17="Tak")),D59*'Założenia 2026'!$B$11,0),2)</f>
        <v>359.03</v>
      </c>
      <c r="I59" s="1">
        <f t="shared" si="0"/>
        <v>2009.09</v>
      </c>
      <c r="J59" s="1">
        <f>ROUND(IF(AND(Kalkulator!$B$5="Umowa zlecenie",Kalkulator!$B$16="Student &lt;26 (bez ZUS/PIT)"),0,IF(OR(Kalkulator!$B$5="Umowa o pracę (UoP)",Kalkulator!$B$5="Umowa zlecenie"),(D59-I59)*'Założenia 2026'!$B$12,0)),2)</f>
        <v>1138.06</v>
      </c>
      <c r="K59" s="1">
        <f>ROUND(IF(AND(Kalkulator!$B$15="Tak",OR(Kalkulator!$B$5="Umowa o pracę (UoP)",AND(Kalkulator!$B$5="Umowa zlecenie",Kalkulator!$B$16="Pełne ZUS"))),D59*Kalkulator!$B$13,0),2)</f>
        <v>293.08</v>
      </c>
      <c r="L59" s="1">
        <f>ROUND(IF(AND(Kalkulator!$B$15="Tak",OR(Kalkulator!$B$5="Umowa o pracę (UoP)",AND(Kalkulator!$B$5="Umowa zlecenie",Kalkulator!$B$16="Pełne ZUS"))),D59*Kalkulator!$B$14,0),2)</f>
        <v>219.81</v>
      </c>
      <c r="M59" s="1">
        <f>IF(Kalkulator!$B$5="Umowa o pracę (UoP)",Kalkulator!$B$10,IF(Kalkulator!$B$5="Umowa zlecenie",(D59-I59)*'Założenia 2026'!$B$32,IF(Kalkulator!$B$5="Umowa o dzieło",D59*Kalkulator!$B$18,0)))</f>
        <v>250</v>
      </c>
      <c r="N59" s="1">
        <f>MAX(0,ROUND(IF(OR(Kalkulator!$B$5="Umowa o pracę (UoP)",Kalkulator!$B$5="Umowa zlecenie"),D59-I59-M59+L59,IF(Kalkulator!$B$5="Umowa o dzieło",D59-M59,0)),0))</f>
        <v>12615</v>
      </c>
      <c r="O59" s="1">
        <f>IF(AND(Kalkulator!$B$5="Umowa zlecenie",Kalkulator!$B$16="Student &lt;26 (bez ZUS/PIT)"),0,MAX(0,ROUND(IF(Kalkulator!$B$12+N59&lt;='Założenia 2026'!$B$3,(Kalkulator!$B$12+N59)*'Założenia 2026'!$B$4,'Założenia 2026'!$B$3*'Założenia 2026'!$B$4+(Kalkulator!$B$12+N59-'Założenia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59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59" s="1">
        <f>IF(Kalkulator!$B$5&lt;&gt;"Samozatrudnienie (B2B)",0,IF(Kalkulator!$B$19="Ryczałt",IF(Kalkulator!$B$25+D59&lt;=60000,'Założenia 2026'!$B$27,IF(Kalkulator!$B$25+D59&lt;=300000,'Założenia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59" s="1">
        <f>MAX(0,D59-Kalkulator!$B$20-P59)</f>
        <v>13654.228091239929</v>
      </c>
      <c r="S59" s="1">
        <f>IF(Kalkulator!$B$5&lt;&gt;"Samozatrudnienie (B2B)",0,IF(Kalkulator!$B$19="Skala podatkowa",MAX(0,ROUND(MAX(0,IF(Kalkulator!$B$24+R59&lt;='Założenia 2026'!$B$3,(Kalkulator!$B$24+R59)*'Założenia 2026'!$B$4,'Założenia 2026'!$B$3*'Założenia 2026'!$B$4+(Kalkulator!$B$24+R59-'Założenia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liniowy",MAX(0,ROUND(MAX(0,R59-MIN(Q59,MAX(0,'Założenia 2026'!$B$8-Kalkulator!$B$29)))*'Założenia 2026'!$B$7,0)),MAX(0,ROUND(MAX(0,D59-P59-0.5*Q59)*Kalkulator!$B$23,0)))))</f>
        <v>0</v>
      </c>
    </row>
    <row r="60" spans="1:19" x14ac:dyDescent="0.35">
      <c r="A60" s="1">
        <v>24</v>
      </c>
      <c r="B60" s="1">
        <f>IF(E59&lt;Kalkulator!$B$6,D59,B59)</f>
        <v>14654.228091239929</v>
      </c>
      <c r="C60" s="1">
        <f>IF(E59&gt;=Kalkulator!$B$6,D59,C59)</f>
        <v>14654.231071472168</v>
      </c>
      <c r="D60" s="1">
        <f t="shared" si="1"/>
        <v>14654.229581356049</v>
      </c>
      <c r="E60" s="1">
        <f>IF(Kalkulator!$B$5="Samozatrudnienie (B2B)",D60-Kalkulator!$B$20-P60-Q60-S60,D60-I60-J60-K60-O60)</f>
        <v>9999.999581356049</v>
      </c>
      <c r="F60" s="1">
        <f>ROUND(IF(OR(Kalkulator!$B$5="Umowa o pracę (UoP)",AND(Kalkulator!$B$5="Umowa zlecenie",Kalkulator!$B$16="Pełne ZUS")),MAX(0,MIN(D60,'Założenia 2026'!$B$35-Kalkulator!$B$30))*'Założenia 2026'!$B$9,0),2)</f>
        <v>1430.25</v>
      </c>
      <c r="G60" s="1">
        <f>ROUND(IF(OR(Kalkulator!$B$5="Umowa o pracę (UoP)",AND(Kalkulator!$B$5="Umowa zlecenie",Kalkulator!$B$16="Pełne ZUS")),MAX(0,MIN(D60,'Założenia 2026'!$B$35-Kalkulator!$B$30))*'Założenia 2026'!$B$10,0),2)</f>
        <v>219.81</v>
      </c>
      <c r="H60" s="1">
        <f>ROUND(IF(OR(Kalkulator!$B$5="Umowa o pracę (UoP)",AND(Kalkulator!$B$5="Umowa zlecenie",Kalkulator!$B$16="Pełne ZUS",Kalkulator!$B$17="Tak")),D60*'Założenia 2026'!$B$11,0),2)</f>
        <v>359.03</v>
      </c>
      <c r="I60" s="1">
        <f t="shared" si="0"/>
        <v>2009.09</v>
      </c>
      <c r="J60" s="1">
        <f>ROUND(IF(AND(Kalkulator!$B$5="Umowa zlecenie",Kalkulator!$B$16="Student &lt;26 (bez ZUS/PIT)"),0,IF(OR(Kalkulator!$B$5="Umowa o pracę (UoP)",Kalkulator!$B$5="Umowa zlecenie"),(D60-I60)*'Założenia 2026'!$B$12,0)),2)</f>
        <v>1138.06</v>
      </c>
      <c r="K60" s="1">
        <f>ROUND(IF(AND(Kalkulator!$B$15="Tak",OR(Kalkulator!$B$5="Umowa o pracę (UoP)",AND(Kalkulator!$B$5="Umowa zlecenie",Kalkulator!$B$16="Pełne ZUS"))),D60*Kalkulator!$B$13,0),2)</f>
        <v>293.08</v>
      </c>
      <c r="L60" s="1">
        <f>ROUND(IF(AND(Kalkulator!$B$15="Tak",OR(Kalkulator!$B$5="Umowa o pracę (UoP)",AND(Kalkulator!$B$5="Umowa zlecenie",Kalkulator!$B$16="Pełne ZUS"))),D60*Kalkulator!$B$14,0),2)</f>
        <v>219.81</v>
      </c>
      <c r="M60" s="1">
        <f>IF(Kalkulator!$B$5="Umowa o pracę (UoP)",Kalkulator!$B$10,IF(Kalkulator!$B$5="Umowa zlecenie",(D60-I60)*'Założenia 2026'!$B$32,IF(Kalkulator!$B$5="Umowa o dzieło",D60*Kalkulator!$B$18,0)))</f>
        <v>250</v>
      </c>
      <c r="N60" s="1">
        <f>MAX(0,ROUND(IF(OR(Kalkulator!$B$5="Umowa o pracę (UoP)",Kalkulator!$B$5="Umowa zlecenie"),D60-I60-M60+L60,IF(Kalkulator!$B$5="Umowa o dzieło",D60-M60,0)),0))</f>
        <v>12615</v>
      </c>
      <c r="O60" s="1">
        <f>IF(AND(Kalkulator!$B$5="Umowa zlecenie",Kalkulator!$B$16="Student &lt;26 (bez ZUS/PIT)"),0,MAX(0,ROUND(IF(Kalkulator!$B$12+N60&lt;='Założenia 2026'!$B$3,(Kalkulator!$B$12+N60)*'Założenia 2026'!$B$4,'Założenia 2026'!$B$3*'Założenia 2026'!$B$4+(Kalkulator!$B$12+N60-'Założenia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60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60" s="1">
        <f>IF(Kalkulator!$B$5&lt;&gt;"Samozatrudnienie (B2B)",0,IF(Kalkulator!$B$19="Ryczałt",IF(Kalkulator!$B$25+D60&lt;=60000,'Założenia 2026'!$B$27,IF(Kalkulator!$B$25+D60&lt;=300000,'Założenia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60" s="1">
        <f>MAX(0,D60-Kalkulator!$B$20-P60)</f>
        <v>13654.229581356049</v>
      </c>
      <c r="S60" s="1">
        <f>IF(Kalkulator!$B$5&lt;&gt;"Samozatrudnienie (B2B)",0,IF(Kalkulator!$B$19="Skala podatkowa",MAX(0,ROUND(MAX(0,IF(Kalkulator!$B$24+R60&lt;='Założenia 2026'!$B$3,(Kalkulator!$B$24+R60)*'Założenia 2026'!$B$4,'Założenia 2026'!$B$3*'Założenia 2026'!$B$4+(Kalkulator!$B$24+R60-'Założenia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liniowy",MAX(0,ROUND(MAX(0,R60-MIN(Q60,MAX(0,'Założenia 2026'!$B$8-Kalkulator!$B$29)))*'Założenia 2026'!$B$7,0)),MAX(0,ROUND(MAX(0,D60-P60-0.5*Q60)*Kalkulator!$B$23,0)))))</f>
        <v>0</v>
      </c>
    </row>
    <row r="61" spans="1:19" x14ac:dyDescent="0.35">
      <c r="A61" s="1">
        <v>25</v>
      </c>
      <c r="B61" s="1">
        <f>IF(E60&lt;Kalkulator!$B$6,D60,B60)</f>
        <v>14654.229581356049</v>
      </c>
      <c r="C61" s="1">
        <f>IF(E60&gt;=Kalkulator!$B$6,D60,C60)</f>
        <v>14654.231071472168</v>
      </c>
      <c r="D61" s="1">
        <f t="shared" si="1"/>
        <v>14654.230326414108</v>
      </c>
      <c r="E61" s="1">
        <f>IF(Kalkulator!$B$5="Samozatrudnienie (B2B)",D61-Kalkulator!$B$20-P61-Q61-S61,D61-I61-J61-K61-O61)</f>
        <v>10000.000326414109</v>
      </c>
      <c r="F61" s="1">
        <f>ROUND(IF(OR(Kalkulator!$B$5="Umowa o pracę (UoP)",AND(Kalkulator!$B$5="Umowa zlecenie",Kalkulator!$B$16="Pełne ZUS")),MAX(0,MIN(D61,'Założenia 2026'!$B$35-Kalkulator!$B$30))*'Założenia 2026'!$B$9,0),2)</f>
        <v>1430.25</v>
      </c>
      <c r="G61" s="1">
        <f>ROUND(IF(OR(Kalkulator!$B$5="Umowa o pracę (UoP)",AND(Kalkulator!$B$5="Umowa zlecenie",Kalkulator!$B$16="Pełne ZUS")),MAX(0,MIN(D61,'Założenia 2026'!$B$35-Kalkulator!$B$30))*'Założenia 2026'!$B$10,0),2)</f>
        <v>219.81</v>
      </c>
      <c r="H61" s="1">
        <f>ROUND(IF(OR(Kalkulator!$B$5="Umowa o pracę (UoP)",AND(Kalkulator!$B$5="Umowa zlecenie",Kalkulator!$B$16="Pełne ZUS",Kalkulator!$B$17="Tak")),D61*'Założenia 2026'!$B$11,0),2)</f>
        <v>359.03</v>
      </c>
      <c r="I61" s="1">
        <f t="shared" si="0"/>
        <v>2009.09</v>
      </c>
      <c r="J61" s="1">
        <f>ROUND(IF(AND(Kalkulator!$B$5="Umowa zlecenie",Kalkulator!$B$16="Student &lt;26 (bez ZUS/PIT)"),0,IF(OR(Kalkulator!$B$5="Umowa o pracę (UoP)",Kalkulator!$B$5="Umowa zlecenie"),(D61-I61)*'Założenia 2026'!$B$12,0)),2)</f>
        <v>1138.06</v>
      </c>
      <c r="K61" s="1">
        <f>ROUND(IF(AND(Kalkulator!$B$15="Tak",OR(Kalkulator!$B$5="Umowa o pracę (UoP)",AND(Kalkulator!$B$5="Umowa zlecenie",Kalkulator!$B$16="Pełne ZUS"))),D61*Kalkulator!$B$13,0),2)</f>
        <v>293.08</v>
      </c>
      <c r="L61" s="1">
        <f>ROUND(IF(AND(Kalkulator!$B$15="Tak",OR(Kalkulator!$B$5="Umowa o pracę (UoP)",AND(Kalkulator!$B$5="Umowa zlecenie",Kalkulator!$B$16="Pełne ZUS"))),D61*Kalkulator!$B$14,0),2)</f>
        <v>219.81</v>
      </c>
      <c r="M61" s="1">
        <f>IF(Kalkulator!$B$5="Umowa o pracę (UoP)",Kalkulator!$B$10,IF(Kalkulator!$B$5="Umowa zlecenie",(D61-I61)*'Założenia 2026'!$B$32,IF(Kalkulator!$B$5="Umowa o dzieło",D61*Kalkulator!$B$18,0)))</f>
        <v>250</v>
      </c>
      <c r="N61" s="1">
        <f>MAX(0,ROUND(IF(OR(Kalkulator!$B$5="Umowa o pracę (UoP)",Kalkulator!$B$5="Umowa zlecenie"),D61-I61-M61+L61,IF(Kalkulator!$B$5="Umowa o dzieło",D61-M61,0)),0))</f>
        <v>12615</v>
      </c>
      <c r="O61" s="1">
        <f>IF(AND(Kalkulator!$B$5="Umowa zlecenie",Kalkulator!$B$16="Student &lt;26 (bez ZUS/PIT)"),0,MAX(0,ROUND(IF(Kalkulator!$B$12+N61&lt;='Założenia 2026'!$B$3,(Kalkulator!$B$12+N61)*'Założenia 2026'!$B$4,'Założenia 2026'!$B$3*'Założenia 2026'!$B$4+(Kalkulator!$B$12+N61-'Założenia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61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61" s="1">
        <f>IF(Kalkulator!$B$5&lt;&gt;"Samozatrudnienie (B2B)",0,IF(Kalkulator!$B$19="Ryczałt",IF(Kalkulator!$B$25+D61&lt;=60000,'Założenia 2026'!$B$27,IF(Kalkulator!$B$25+D61&lt;=300000,'Założenia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61" s="1">
        <f>MAX(0,D61-Kalkulator!$B$20-P61)</f>
        <v>13654.230326414108</v>
      </c>
      <c r="S61" s="1">
        <f>IF(Kalkulator!$B$5&lt;&gt;"Samozatrudnienie (B2B)",0,IF(Kalkulator!$B$19="Skala podatkowa",MAX(0,ROUND(MAX(0,IF(Kalkulator!$B$24+R61&lt;='Założenia 2026'!$B$3,(Kalkulator!$B$24+R61)*'Założenia 2026'!$B$4,'Założenia 2026'!$B$3*'Założenia 2026'!$B$4+(Kalkulator!$B$24+R61-'Założenia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liniowy",MAX(0,ROUND(MAX(0,R61-MIN(Q61,MAX(0,'Założenia 2026'!$B$8-Kalkulator!$B$29)))*'Założenia 2026'!$B$7,0)),MAX(0,ROUND(MAX(0,D61-P61-0.5*Q61)*Kalkulator!$B$23,0)))))</f>
        <v>0</v>
      </c>
    </row>
    <row r="62" spans="1:19" x14ac:dyDescent="0.35">
      <c r="A62" s="1">
        <v>26</v>
      </c>
      <c r="B62" s="1">
        <f>IF(E61&lt;Kalkulator!$B$6,D61,B61)</f>
        <v>14654.229581356049</v>
      </c>
      <c r="C62" s="1">
        <f>IF(E61&gt;=Kalkulator!$B$6,D61,C61)</f>
        <v>14654.230326414108</v>
      </c>
      <c r="D62" s="1">
        <f t="shared" si="1"/>
        <v>14654.229953885078</v>
      </c>
      <c r="E62" s="1">
        <f>IF(Kalkulator!$B$5="Samozatrudnienie (B2B)",D62-Kalkulator!$B$20-P62-Q62-S62,D62-I62-J62-K62-O62)</f>
        <v>9999.9999538850789</v>
      </c>
      <c r="F62" s="1">
        <f>ROUND(IF(OR(Kalkulator!$B$5="Umowa o pracę (UoP)",AND(Kalkulator!$B$5="Umowa zlecenie",Kalkulator!$B$16="Pełne ZUS")),MAX(0,MIN(D62,'Założenia 2026'!$B$35-Kalkulator!$B$30))*'Założenia 2026'!$B$9,0),2)</f>
        <v>1430.25</v>
      </c>
      <c r="G62" s="1">
        <f>ROUND(IF(OR(Kalkulator!$B$5="Umowa o pracę (UoP)",AND(Kalkulator!$B$5="Umowa zlecenie",Kalkulator!$B$16="Pełne ZUS")),MAX(0,MIN(D62,'Założenia 2026'!$B$35-Kalkulator!$B$30))*'Założenia 2026'!$B$10,0),2)</f>
        <v>219.81</v>
      </c>
      <c r="H62" s="1">
        <f>ROUND(IF(OR(Kalkulator!$B$5="Umowa o pracę (UoP)",AND(Kalkulator!$B$5="Umowa zlecenie",Kalkulator!$B$16="Pełne ZUS",Kalkulator!$B$17="Tak")),D62*'Założenia 2026'!$B$11,0),2)</f>
        <v>359.03</v>
      </c>
      <c r="I62" s="1">
        <f t="shared" si="0"/>
        <v>2009.09</v>
      </c>
      <c r="J62" s="1">
        <f>ROUND(IF(AND(Kalkulator!$B$5="Umowa zlecenie",Kalkulator!$B$16="Student &lt;26 (bez ZUS/PIT)"),0,IF(OR(Kalkulator!$B$5="Umowa o pracę (UoP)",Kalkulator!$B$5="Umowa zlecenie"),(D62-I62)*'Założenia 2026'!$B$12,0)),2)</f>
        <v>1138.06</v>
      </c>
      <c r="K62" s="1">
        <f>ROUND(IF(AND(Kalkulator!$B$15="Tak",OR(Kalkulator!$B$5="Umowa o pracę (UoP)",AND(Kalkulator!$B$5="Umowa zlecenie",Kalkulator!$B$16="Pełne ZUS"))),D62*Kalkulator!$B$13,0),2)</f>
        <v>293.08</v>
      </c>
      <c r="L62" s="1">
        <f>ROUND(IF(AND(Kalkulator!$B$15="Tak",OR(Kalkulator!$B$5="Umowa o pracę (UoP)",AND(Kalkulator!$B$5="Umowa zlecenie",Kalkulator!$B$16="Pełne ZUS"))),D62*Kalkulator!$B$14,0),2)</f>
        <v>219.81</v>
      </c>
      <c r="M62" s="1">
        <f>IF(Kalkulator!$B$5="Umowa o pracę (UoP)",Kalkulator!$B$10,IF(Kalkulator!$B$5="Umowa zlecenie",(D62-I62)*'Założenia 2026'!$B$32,IF(Kalkulator!$B$5="Umowa o dzieło",D62*Kalkulator!$B$18,0)))</f>
        <v>250</v>
      </c>
      <c r="N62" s="1">
        <f>MAX(0,ROUND(IF(OR(Kalkulator!$B$5="Umowa o pracę (UoP)",Kalkulator!$B$5="Umowa zlecenie"),D62-I62-M62+L62,IF(Kalkulator!$B$5="Umowa o dzieło",D62-M62,0)),0))</f>
        <v>12615</v>
      </c>
      <c r="O62" s="1">
        <f>IF(AND(Kalkulator!$B$5="Umowa zlecenie",Kalkulator!$B$16="Student &lt;26 (bez ZUS/PIT)"),0,MAX(0,ROUND(IF(Kalkulator!$B$12+N62&lt;='Założenia 2026'!$B$3,(Kalkulator!$B$12+N62)*'Założenia 2026'!$B$4,'Założenia 2026'!$B$3*'Założenia 2026'!$B$4+(Kalkulator!$B$12+N62-'Założenia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62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62" s="1">
        <f>IF(Kalkulator!$B$5&lt;&gt;"Samozatrudnienie (B2B)",0,IF(Kalkulator!$B$19="Ryczałt",IF(Kalkulator!$B$25+D62&lt;=60000,'Założenia 2026'!$B$27,IF(Kalkulator!$B$25+D62&lt;=300000,'Założenia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62" s="1">
        <f>MAX(0,D62-Kalkulator!$B$20-P62)</f>
        <v>13654.229953885078</v>
      </c>
      <c r="S62" s="1">
        <f>IF(Kalkulator!$B$5&lt;&gt;"Samozatrudnienie (B2B)",0,IF(Kalkulator!$B$19="Skala podatkowa",MAX(0,ROUND(MAX(0,IF(Kalkulator!$B$24+R62&lt;='Założenia 2026'!$B$3,(Kalkulator!$B$24+R62)*'Założenia 2026'!$B$4,'Założenia 2026'!$B$3*'Założenia 2026'!$B$4+(Kalkulator!$B$24+R62-'Założenia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liniowy",MAX(0,ROUND(MAX(0,R62-MIN(Q62,MAX(0,'Założenia 2026'!$B$8-Kalkulator!$B$29)))*'Założenia 2026'!$B$7,0)),MAX(0,ROUND(MAX(0,D62-P62-0.5*Q62)*Kalkulator!$B$23,0)))))</f>
        <v>0</v>
      </c>
    </row>
    <row r="63" spans="1:19" x14ac:dyDescent="0.35">
      <c r="A63" s="1">
        <v>27</v>
      </c>
      <c r="B63" s="1">
        <f>IF(E62&lt;Kalkulator!$B$6,D62,B62)</f>
        <v>14654.229953885078</v>
      </c>
      <c r="C63" s="1">
        <f>IF(E62&gt;=Kalkulator!$B$6,D62,C62)</f>
        <v>14654.230326414108</v>
      </c>
      <c r="D63" s="1">
        <f t="shared" si="1"/>
        <v>14654.230140149593</v>
      </c>
      <c r="E63" s="1">
        <f>IF(Kalkulator!$B$5="Samozatrudnienie (B2B)",D63-Kalkulator!$B$20-P63-Q63-S63,D63-I63-J63-K63-O63)</f>
        <v>10000.000140149594</v>
      </c>
      <c r="F63" s="1">
        <f>ROUND(IF(OR(Kalkulator!$B$5="Umowa o pracę (UoP)",AND(Kalkulator!$B$5="Umowa zlecenie",Kalkulator!$B$16="Pełne ZUS")),MAX(0,MIN(D63,'Założenia 2026'!$B$35-Kalkulator!$B$30))*'Założenia 2026'!$B$9,0),2)</f>
        <v>1430.25</v>
      </c>
      <c r="G63" s="1">
        <f>ROUND(IF(OR(Kalkulator!$B$5="Umowa o pracę (UoP)",AND(Kalkulator!$B$5="Umowa zlecenie",Kalkulator!$B$16="Pełne ZUS")),MAX(0,MIN(D63,'Założenia 2026'!$B$35-Kalkulator!$B$30))*'Założenia 2026'!$B$10,0),2)</f>
        <v>219.81</v>
      </c>
      <c r="H63" s="1">
        <f>ROUND(IF(OR(Kalkulator!$B$5="Umowa o pracę (UoP)",AND(Kalkulator!$B$5="Umowa zlecenie",Kalkulator!$B$16="Pełne ZUS",Kalkulator!$B$17="Tak")),D63*'Założenia 2026'!$B$11,0),2)</f>
        <v>359.03</v>
      </c>
      <c r="I63" s="1">
        <f t="shared" si="0"/>
        <v>2009.09</v>
      </c>
      <c r="J63" s="1">
        <f>ROUND(IF(AND(Kalkulator!$B$5="Umowa zlecenie",Kalkulator!$B$16="Student &lt;26 (bez ZUS/PIT)"),0,IF(OR(Kalkulator!$B$5="Umowa o pracę (UoP)",Kalkulator!$B$5="Umowa zlecenie"),(D63-I63)*'Założenia 2026'!$B$12,0)),2)</f>
        <v>1138.06</v>
      </c>
      <c r="K63" s="1">
        <f>ROUND(IF(AND(Kalkulator!$B$15="Tak",OR(Kalkulator!$B$5="Umowa o pracę (UoP)",AND(Kalkulator!$B$5="Umowa zlecenie",Kalkulator!$B$16="Pełne ZUS"))),D63*Kalkulator!$B$13,0),2)</f>
        <v>293.08</v>
      </c>
      <c r="L63" s="1">
        <f>ROUND(IF(AND(Kalkulator!$B$15="Tak",OR(Kalkulator!$B$5="Umowa o pracę (UoP)",AND(Kalkulator!$B$5="Umowa zlecenie",Kalkulator!$B$16="Pełne ZUS"))),D63*Kalkulator!$B$14,0),2)</f>
        <v>219.81</v>
      </c>
      <c r="M63" s="1">
        <f>IF(Kalkulator!$B$5="Umowa o pracę (UoP)",Kalkulator!$B$10,IF(Kalkulator!$B$5="Umowa zlecenie",(D63-I63)*'Założenia 2026'!$B$32,IF(Kalkulator!$B$5="Umowa o dzieło",D63*Kalkulator!$B$18,0)))</f>
        <v>250</v>
      </c>
      <c r="N63" s="1">
        <f>MAX(0,ROUND(IF(OR(Kalkulator!$B$5="Umowa o pracę (UoP)",Kalkulator!$B$5="Umowa zlecenie"),D63-I63-M63+L63,IF(Kalkulator!$B$5="Umowa o dzieło",D63-M63,0)),0))</f>
        <v>12615</v>
      </c>
      <c r="O63" s="1">
        <f>IF(AND(Kalkulator!$B$5="Umowa zlecenie",Kalkulator!$B$16="Student &lt;26 (bez ZUS/PIT)"),0,MAX(0,ROUND(IF(Kalkulator!$B$12+N63&lt;='Założenia 2026'!$B$3,(Kalkulator!$B$12+N63)*'Założenia 2026'!$B$4,'Założenia 2026'!$B$3*'Założenia 2026'!$B$4+(Kalkulator!$B$12+N63-'Założenia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63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63" s="1">
        <f>IF(Kalkulator!$B$5&lt;&gt;"Samozatrudnienie (B2B)",0,IF(Kalkulator!$B$19="Ryczałt",IF(Kalkulator!$B$25+D63&lt;=60000,'Założenia 2026'!$B$27,IF(Kalkulator!$B$25+D63&lt;=300000,'Założenia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63" s="1">
        <f>MAX(0,D63-Kalkulator!$B$20-P63)</f>
        <v>13654.230140149593</v>
      </c>
      <c r="S63" s="1">
        <f>IF(Kalkulator!$B$5&lt;&gt;"Samozatrudnienie (B2B)",0,IF(Kalkulator!$B$19="Skala podatkowa",MAX(0,ROUND(MAX(0,IF(Kalkulator!$B$24+R63&lt;='Założenia 2026'!$B$3,(Kalkulator!$B$24+R63)*'Założenia 2026'!$B$4,'Założenia 2026'!$B$3*'Założenia 2026'!$B$4+(Kalkulator!$B$24+R63-'Założenia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liniowy",MAX(0,ROUND(MAX(0,R63-MIN(Q63,MAX(0,'Założenia 2026'!$B$8-Kalkulator!$B$29)))*'Założenia 2026'!$B$7,0)),MAX(0,ROUND(MAX(0,D63-P63-0.5*Q63)*Kalkulator!$B$23,0)))))</f>
        <v>0</v>
      </c>
    </row>
    <row r="64" spans="1:19" x14ac:dyDescent="0.35">
      <c r="A64" s="1">
        <v>28</v>
      </c>
      <c r="B64" s="1">
        <f>IF(E63&lt;Kalkulator!$B$6,D63,B63)</f>
        <v>14654.229953885078</v>
      </c>
      <c r="C64" s="1">
        <f>IF(E63&gt;=Kalkulator!$B$6,D63,C63)</f>
        <v>14654.230140149593</v>
      </c>
      <c r="D64" s="1">
        <f t="shared" si="1"/>
        <v>14654.230047017336</v>
      </c>
      <c r="E64" s="1">
        <f>IF(Kalkulator!$B$5="Samozatrudnienie (B2B)",D64-Kalkulator!$B$20-P64-Q64-S64,D64-I64-J64-K64-O64)</f>
        <v>10000.000047017336</v>
      </c>
      <c r="F64" s="1">
        <f>ROUND(IF(OR(Kalkulator!$B$5="Umowa o pracę (UoP)",AND(Kalkulator!$B$5="Umowa zlecenie",Kalkulator!$B$16="Pełne ZUS")),MAX(0,MIN(D64,'Założenia 2026'!$B$35-Kalkulator!$B$30))*'Założenia 2026'!$B$9,0),2)</f>
        <v>1430.25</v>
      </c>
      <c r="G64" s="1">
        <f>ROUND(IF(OR(Kalkulator!$B$5="Umowa o pracę (UoP)",AND(Kalkulator!$B$5="Umowa zlecenie",Kalkulator!$B$16="Pełne ZUS")),MAX(0,MIN(D64,'Założenia 2026'!$B$35-Kalkulator!$B$30))*'Założenia 2026'!$B$10,0),2)</f>
        <v>219.81</v>
      </c>
      <c r="H64" s="1">
        <f>ROUND(IF(OR(Kalkulator!$B$5="Umowa o pracę (UoP)",AND(Kalkulator!$B$5="Umowa zlecenie",Kalkulator!$B$16="Pełne ZUS",Kalkulator!$B$17="Tak")),D64*'Założenia 2026'!$B$11,0),2)</f>
        <v>359.03</v>
      </c>
      <c r="I64" s="1">
        <f t="shared" si="0"/>
        <v>2009.09</v>
      </c>
      <c r="J64" s="1">
        <f>ROUND(IF(AND(Kalkulator!$B$5="Umowa zlecenie",Kalkulator!$B$16="Student &lt;26 (bez ZUS/PIT)"),0,IF(OR(Kalkulator!$B$5="Umowa o pracę (UoP)",Kalkulator!$B$5="Umowa zlecenie"),(D64-I64)*'Założenia 2026'!$B$12,0)),2)</f>
        <v>1138.06</v>
      </c>
      <c r="K64" s="1">
        <f>ROUND(IF(AND(Kalkulator!$B$15="Tak",OR(Kalkulator!$B$5="Umowa o pracę (UoP)",AND(Kalkulator!$B$5="Umowa zlecenie",Kalkulator!$B$16="Pełne ZUS"))),D64*Kalkulator!$B$13,0),2)</f>
        <v>293.08</v>
      </c>
      <c r="L64" s="1">
        <f>ROUND(IF(AND(Kalkulator!$B$15="Tak",OR(Kalkulator!$B$5="Umowa o pracę (UoP)",AND(Kalkulator!$B$5="Umowa zlecenie",Kalkulator!$B$16="Pełne ZUS"))),D64*Kalkulator!$B$14,0),2)</f>
        <v>219.81</v>
      </c>
      <c r="M64" s="1">
        <f>IF(Kalkulator!$B$5="Umowa o pracę (UoP)",Kalkulator!$B$10,IF(Kalkulator!$B$5="Umowa zlecenie",(D64-I64)*'Założenia 2026'!$B$32,IF(Kalkulator!$B$5="Umowa o dzieło",D64*Kalkulator!$B$18,0)))</f>
        <v>250</v>
      </c>
      <c r="N64" s="1">
        <f>MAX(0,ROUND(IF(OR(Kalkulator!$B$5="Umowa o pracę (UoP)",Kalkulator!$B$5="Umowa zlecenie"),D64-I64-M64+L64,IF(Kalkulator!$B$5="Umowa o dzieło",D64-M64,0)),0))</f>
        <v>12615</v>
      </c>
      <c r="O64" s="1">
        <f>IF(AND(Kalkulator!$B$5="Umowa zlecenie",Kalkulator!$B$16="Student &lt;26 (bez ZUS/PIT)"),0,MAX(0,ROUND(IF(Kalkulator!$B$12+N64&lt;='Założenia 2026'!$B$3,(Kalkulator!$B$12+N64)*'Założenia 2026'!$B$4,'Założenia 2026'!$B$3*'Założenia 2026'!$B$4+(Kalkulator!$B$12+N64-'Założenia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64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64" s="1">
        <f>IF(Kalkulator!$B$5&lt;&gt;"Samozatrudnienie (B2B)",0,IF(Kalkulator!$B$19="Ryczałt",IF(Kalkulator!$B$25+D64&lt;=60000,'Założenia 2026'!$B$27,IF(Kalkulator!$B$25+D64&lt;=300000,'Założenia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64" s="1">
        <f>MAX(0,D64-Kalkulator!$B$20-P64)</f>
        <v>13654.230047017336</v>
      </c>
      <c r="S64" s="1">
        <f>IF(Kalkulator!$B$5&lt;&gt;"Samozatrudnienie (B2B)",0,IF(Kalkulator!$B$19="Skala podatkowa",MAX(0,ROUND(MAX(0,IF(Kalkulator!$B$24+R64&lt;='Założenia 2026'!$B$3,(Kalkulator!$B$24+R64)*'Założenia 2026'!$B$4,'Założenia 2026'!$B$3*'Założenia 2026'!$B$4+(Kalkulator!$B$24+R64-'Założenia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liniowy",MAX(0,ROUND(MAX(0,R64-MIN(Q64,MAX(0,'Założenia 2026'!$B$8-Kalkulator!$B$29)))*'Założenia 2026'!$B$7,0)),MAX(0,ROUND(MAX(0,D64-P64-0.5*Q64)*Kalkulator!$B$23,0)))))</f>
        <v>0</v>
      </c>
    </row>
    <row r="65" spans="1:19" x14ac:dyDescent="0.35">
      <c r="A65" s="1">
        <v>29</v>
      </c>
      <c r="B65" s="1">
        <f>IF(E64&lt;Kalkulator!$B$6,D64,B64)</f>
        <v>14654.229953885078</v>
      </c>
      <c r="C65" s="1">
        <f>IF(E64&gt;=Kalkulator!$B$6,D64,C64)</f>
        <v>14654.230047017336</v>
      </c>
      <c r="D65" s="1">
        <f t="shared" si="1"/>
        <v>14654.230000451207</v>
      </c>
      <c r="E65" s="1">
        <f>IF(Kalkulator!$B$5="Samozatrudnienie (B2B)",D65-Kalkulator!$B$20-P65-Q65-S65,D65-I65-J65-K65-O65)</f>
        <v>10000.000000451208</v>
      </c>
      <c r="F65" s="1">
        <f>ROUND(IF(OR(Kalkulator!$B$5="Umowa o pracę (UoP)",AND(Kalkulator!$B$5="Umowa zlecenie",Kalkulator!$B$16="Pełne ZUS")),MAX(0,MIN(D65,'Założenia 2026'!$B$35-Kalkulator!$B$30))*'Założenia 2026'!$B$9,0),2)</f>
        <v>1430.25</v>
      </c>
      <c r="G65" s="1">
        <f>ROUND(IF(OR(Kalkulator!$B$5="Umowa o pracę (UoP)",AND(Kalkulator!$B$5="Umowa zlecenie",Kalkulator!$B$16="Pełne ZUS")),MAX(0,MIN(D65,'Założenia 2026'!$B$35-Kalkulator!$B$30))*'Założenia 2026'!$B$10,0),2)</f>
        <v>219.81</v>
      </c>
      <c r="H65" s="1">
        <f>ROUND(IF(OR(Kalkulator!$B$5="Umowa o pracę (UoP)",AND(Kalkulator!$B$5="Umowa zlecenie",Kalkulator!$B$16="Pełne ZUS",Kalkulator!$B$17="Tak")),D65*'Założenia 2026'!$B$11,0),2)</f>
        <v>359.03</v>
      </c>
      <c r="I65" s="1">
        <f t="shared" si="0"/>
        <v>2009.09</v>
      </c>
      <c r="J65" s="1">
        <f>ROUND(IF(AND(Kalkulator!$B$5="Umowa zlecenie",Kalkulator!$B$16="Student &lt;26 (bez ZUS/PIT)"),0,IF(OR(Kalkulator!$B$5="Umowa o pracę (UoP)",Kalkulator!$B$5="Umowa zlecenie"),(D65-I65)*'Założenia 2026'!$B$12,0)),2)</f>
        <v>1138.06</v>
      </c>
      <c r="K65" s="1">
        <f>ROUND(IF(AND(Kalkulator!$B$15="Tak",OR(Kalkulator!$B$5="Umowa o pracę (UoP)",AND(Kalkulator!$B$5="Umowa zlecenie",Kalkulator!$B$16="Pełne ZUS"))),D65*Kalkulator!$B$13,0),2)</f>
        <v>293.08</v>
      </c>
      <c r="L65" s="1">
        <f>ROUND(IF(AND(Kalkulator!$B$15="Tak",OR(Kalkulator!$B$5="Umowa o pracę (UoP)",AND(Kalkulator!$B$5="Umowa zlecenie",Kalkulator!$B$16="Pełne ZUS"))),D65*Kalkulator!$B$14,0),2)</f>
        <v>219.81</v>
      </c>
      <c r="M65" s="1">
        <f>IF(Kalkulator!$B$5="Umowa o pracę (UoP)",Kalkulator!$B$10,IF(Kalkulator!$B$5="Umowa zlecenie",(D65-I65)*'Założenia 2026'!$B$32,IF(Kalkulator!$B$5="Umowa o dzieło",D65*Kalkulator!$B$18,0)))</f>
        <v>250</v>
      </c>
      <c r="N65" s="1">
        <f>MAX(0,ROUND(IF(OR(Kalkulator!$B$5="Umowa o pracę (UoP)",Kalkulator!$B$5="Umowa zlecenie"),D65-I65-M65+L65,IF(Kalkulator!$B$5="Umowa o dzieło",D65-M65,0)),0))</f>
        <v>12615</v>
      </c>
      <c r="O65" s="1">
        <f>IF(AND(Kalkulator!$B$5="Umowa zlecenie",Kalkulator!$B$16="Student &lt;26 (bez ZUS/PIT)"),0,MAX(0,ROUND(IF(Kalkulator!$B$12+N65&lt;='Założenia 2026'!$B$3,(Kalkulator!$B$12+N65)*'Założenia 2026'!$B$4,'Założenia 2026'!$B$3*'Założenia 2026'!$B$4+(Kalkulator!$B$12+N65-'Założenia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65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65" s="1">
        <f>IF(Kalkulator!$B$5&lt;&gt;"Samozatrudnienie (B2B)",0,IF(Kalkulator!$B$19="Ryczałt",IF(Kalkulator!$B$25+D65&lt;=60000,'Założenia 2026'!$B$27,IF(Kalkulator!$B$25+D65&lt;=300000,'Założenia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65" s="1">
        <f>MAX(0,D65-Kalkulator!$B$20-P65)</f>
        <v>13654.230000451207</v>
      </c>
      <c r="S65" s="1">
        <f>IF(Kalkulator!$B$5&lt;&gt;"Samozatrudnienie (B2B)",0,IF(Kalkulator!$B$19="Skala podatkowa",MAX(0,ROUND(MAX(0,IF(Kalkulator!$B$24+R65&lt;='Założenia 2026'!$B$3,(Kalkulator!$B$24+R65)*'Założenia 2026'!$B$4,'Założenia 2026'!$B$3*'Założenia 2026'!$B$4+(Kalkulator!$B$24+R65-'Założenia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liniowy",MAX(0,ROUND(MAX(0,R65-MIN(Q65,MAX(0,'Założenia 2026'!$B$8-Kalkulator!$B$29)))*'Założenia 2026'!$B$7,0)),MAX(0,ROUND(MAX(0,D65-P65-0.5*Q65)*Kalkulator!$B$23,0)))))</f>
        <v>0</v>
      </c>
    </row>
    <row r="66" spans="1:19" x14ac:dyDescent="0.35">
      <c r="A66" s="1">
        <v>30</v>
      </c>
      <c r="B66" s="1">
        <f>IF(E65&lt;Kalkulator!$B$6,D65,B65)</f>
        <v>14654.229953885078</v>
      </c>
      <c r="C66" s="1">
        <f>IF(E65&gt;=Kalkulator!$B$6,D65,C65)</f>
        <v>14654.230000451207</v>
      </c>
      <c r="D66" s="1">
        <f t="shared" si="1"/>
        <v>14654.229977168143</v>
      </c>
      <c r="E66" s="1">
        <f>IF(Kalkulator!$B$5="Samozatrudnienie (B2B)",D66-Kalkulator!$B$20-P66-Q66-S66,D66-I66-J66-K66-O66)</f>
        <v>9999.9999771681432</v>
      </c>
      <c r="F66" s="1">
        <f>ROUND(IF(OR(Kalkulator!$B$5="Umowa o pracę (UoP)",AND(Kalkulator!$B$5="Umowa zlecenie",Kalkulator!$B$16="Pełne ZUS")),MAX(0,MIN(D66,'Założenia 2026'!$B$35-Kalkulator!$B$30))*'Założenia 2026'!$B$9,0),2)</f>
        <v>1430.25</v>
      </c>
      <c r="G66" s="1">
        <f>ROUND(IF(OR(Kalkulator!$B$5="Umowa o pracę (UoP)",AND(Kalkulator!$B$5="Umowa zlecenie",Kalkulator!$B$16="Pełne ZUS")),MAX(0,MIN(D66,'Założenia 2026'!$B$35-Kalkulator!$B$30))*'Założenia 2026'!$B$10,0),2)</f>
        <v>219.81</v>
      </c>
      <c r="H66" s="1">
        <f>ROUND(IF(OR(Kalkulator!$B$5="Umowa o pracę (UoP)",AND(Kalkulator!$B$5="Umowa zlecenie",Kalkulator!$B$16="Pełne ZUS",Kalkulator!$B$17="Tak")),D66*'Założenia 2026'!$B$11,0),2)</f>
        <v>359.03</v>
      </c>
      <c r="I66" s="1">
        <f t="shared" si="0"/>
        <v>2009.09</v>
      </c>
      <c r="J66" s="1">
        <f>ROUND(IF(AND(Kalkulator!$B$5="Umowa zlecenie",Kalkulator!$B$16="Student &lt;26 (bez ZUS/PIT)"),0,IF(OR(Kalkulator!$B$5="Umowa o pracę (UoP)",Kalkulator!$B$5="Umowa zlecenie"),(D66-I66)*'Założenia 2026'!$B$12,0)),2)</f>
        <v>1138.06</v>
      </c>
      <c r="K66" s="1">
        <f>ROUND(IF(AND(Kalkulator!$B$15="Tak",OR(Kalkulator!$B$5="Umowa o pracę (UoP)",AND(Kalkulator!$B$5="Umowa zlecenie",Kalkulator!$B$16="Pełne ZUS"))),D66*Kalkulator!$B$13,0),2)</f>
        <v>293.08</v>
      </c>
      <c r="L66" s="1">
        <f>ROUND(IF(AND(Kalkulator!$B$15="Tak",OR(Kalkulator!$B$5="Umowa o pracę (UoP)",AND(Kalkulator!$B$5="Umowa zlecenie",Kalkulator!$B$16="Pełne ZUS"))),D66*Kalkulator!$B$14,0),2)</f>
        <v>219.81</v>
      </c>
      <c r="M66" s="1">
        <f>IF(Kalkulator!$B$5="Umowa o pracę (UoP)",Kalkulator!$B$10,IF(Kalkulator!$B$5="Umowa zlecenie",(D66-I66)*'Założenia 2026'!$B$32,IF(Kalkulator!$B$5="Umowa o dzieło",D66*Kalkulator!$B$18,0)))</f>
        <v>250</v>
      </c>
      <c r="N66" s="1">
        <f>MAX(0,ROUND(IF(OR(Kalkulator!$B$5="Umowa o pracę (UoP)",Kalkulator!$B$5="Umowa zlecenie"),D66-I66-M66+L66,IF(Kalkulator!$B$5="Umowa o dzieło",D66-M66,0)),0))</f>
        <v>12615</v>
      </c>
      <c r="O66" s="1">
        <f>IF(AND(Kalkulator!$B$5="Umowa zlecenie",Kalkulator!$B$16="Student &lt;26 (bez ZUS/PIT)"),0,MAX(0,ROUND(IF(Kalkulator!$B$12+N66&lt;='Założenia 2026'!$B$3,(Kalkulator!$B$12+N66)*'Założenia 2026'!$B$4,'Założenia 2026'!$B$3*'Założenia 2026'!$B$4+(Kalkulator!$B$12+N66-'Założenia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66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66" s="1">
        <f>IF(Kalkulator!$B$5&lt;&gt;"Samozatrudnienie (B2B)",0,IF(Kalkulator!$B$19="Ryczałt",IF(Kalkulator!$B$25+D66&lt;=60000,'Założenia 2026'!$B$27,IF(Kalkulator!$B$25+D66&lt;=300000,'Założenia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66" s="1">
        <f>MAX(0,D66-Kalkulator!$B$20-P66)</f>
        <v>13654.229977168143</v>
      </c>
      <c r="S66" s="1">
        <f>IF(Kalkulator!$B$5&lt;&gt;"Samozatrudnienie (B2B)",0,IF(Kalkulator!$B$19="Skala podatkowa",MAX(0,ROUND(MAX(0,IF(Kalkulator!$B$24+R66&lt;='Założenia 2026'!$B$3,(Kalkulator!$B$24+R66)*'Założenia 2026'!$B$4,'Założenia 2026'!$B$3*'Założenia 2026'!$B$4+(Kalkulator!$B$24+R66-'Założenia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liniowy",MAX(0,ROUND(MAX(0,R66-MIN(Q66,MAX(0,'Założenia 2026'!$B$8-Kalkulator!$B$29)))*'Założenia 2026'!$B$7,0)),MAX(0,ROUND(MAX(0,D66-P66-0.5*Q66)*Kalkulator!$B$23,0)))))</f>
        <v>0</v>
      </c>
    </row>
    <row r="67" spans="1:19" x14ac:dyDescent="0.35">
      <c r="A67" s="1">
        <v>31</v>
      </c>
      <c r="B67" s="1">
        <f>IF(E66&lt;Kalkulator!$B$6,D66,B66)</f>
        <v>14654.229977168143</v>
      </c>
      <c r="C67" s="1">
        <f>IF(E66&gt;=Kalkulator!$B$6,D66,C66)</f>
        <v>14654.230000451207</v>
      </c>
      <c r="D67" s="1">
        <f t="shared" si="1"/>
        <v>14654.229988809675</v>
      </c>
      <c r="E67" s="1">
        <f>IF(Kalkulator!$B$5="Samozatrudnienie (B2B)",D67-Kalkulator!$B$20-P67-Q67-S67,D67-I67-J67-K67-O67)</f>
        <v>9999.9999888096754</v>
      </c>
      <c r="F67" s="1">
        <f>ROUND(IF(OR(Kalkulator!$B$5="Umowa o pracę (UoP)",AND(Kalkulator!$B$5="Umowa zlecenie",Kalkulator!$B$16="Pełne ZUS")),MAX(0,MIN(D67,'Założenia 2026'!$B$35-Kalkulator!$B$30))*'Założenia 2026'!$B$9,0),2)</f>
        <v>1430.25</v>
      </c>
      <c r="G67" s="1">
        <f>ROUND(IF(OR(Kalkulator!$B$5="Umowa o pracę (UoP)",AND(Kalkulator!$B$5="Umowa zlecenie",Kalkulator!$B$16="Pełne ZUS")),MAX(0,MIN(D67,'Założenia 2026'!$B$35-Kalkulator!$B$30))*'Założenia 2026'!$B$10,0),2)</f>
        <v>219.81</v>
      </c>
      <c r="H67" s="1">
        <f>ROUND(IF(OR(Kalkulator!$B$5="Umowa o pracę (UoP)",AND(Kalkulator!$B$5="Umowa zlecenie",Kalkulator!$B$16="Pełne ZUS",Kalkulator!$B$17="Tak")),D67*'Założenia 2026'!$B$11,0),2)</f>
        <v>359.03</v>
      </c>
      <c r="I67" s="1">
        <f t="shared" si="0"/>
        <v>2009.09</v>
      </c>
      <c r="J67" s="1">
        <f>ROUND(IF(AND(Kalkulator!$B$5="Umowa zlecenie",Kalkulator!$B$16="Student &lt;26 (bez ZUS/PIT)"),0,IF(OR(Kalkulator!$B$5="Umowa o pracę (UoP)",Kalkulator!$B$5="Umowa zlecenie"),(D67-I67)*'Założenia 2026'!$B$12,0)),2)</f>
        <v>1138.06</v>
      </c>
      <c r="K67" s="1">
        <f>ROUND(IF(AND(Kalkulator!$B$15="Tak",OR(Kalkulator!$B$5="Umowa o pracę (UoP)",AND(Kalkulator!$B$5="Umowa zlecenie",Kalkulator!$B$16="Pełne ZUS"))),D67*Kalkulator!$B$13,0),2)</f>
        <v>293.08</v>
      </c>
      <c r="L67" s="1">
        <f>ROUND(IF(AND(Kalkulator!$B$15="Tak",OR(Kalkulator!$B$5="Umowa o pracę (UoP)",AND(Kalkulator!$B$5="Umowa zlecenie",Kalkulator!$B$16="Pełne ZUS"))),D67*Kalkulator!$B$14,0),2)</f>
        <v>219.81</v>
      </c>
      <c r="M67" s="1">
        <f>IF(Kalkulator!$B$5="Umowa o pracę (UoP)",Kalkulator!$B$10,IF(Kalkulator!$B$5="Umowa zlecenie",(D67-I67)*'Założenia 2026'!$B$32,IF(Kalkulator!$B$5="Umowa o dzieło",D67*Kalkulator!$B$18,0)))</f>
        <v>250</v>
      </c>
      <c r="N67" s="1">
        <f>MAX(0,ROUND(IF(OR(Kalkulator!$B$5="Umowa o pracę (UoP)",Kalkulator!$B$5="Umowa zlecenie"),D67-I67-M67+L67,IF(Kalkulator!$B$5="Umowa o dzieło",D67-M67,0)),0))</f>
        <v>12615</v>
      </c>
      <c r="O67" s="1">
        <f>IF(AND(Kalkulator!$B$5="Umowa zlecenie",Kalkulator!$B$16="Student &lt;26 (bez ZUS/PIT)"),0,MAX(0,ROUND(IF(Kalkulator!$B$12+N67&lt;='Założenia 2026'!$B$3,(Kalkulator!$B$12+N67)*'Założenia 2026'!$B$4,'Założenia 2026'!$B$3*'Założenia 2026'!$B$4+(Kalkulator!$B$12+N67-'Założenia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67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67" s="1">
        <f>IF(Kalkulator!$B$5&lt;&gt;"Samozatrudnienie (B2B)",0,IF(Kalkulator!$B$19="Ryczałt",IF(Kalkulator!$B$25+D67&lt;=60000,'Założenia 2026'!$B$27,IF(Kalkulator!$B$25+D67&lt;=300000,'Założenia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67" s="1">
        <f>MAX(0,D67-Kalkulator!$B$20-P67)</f>
        <v>13654.229988809675</v>
      </c>
      <c r="S67" s="1">
        <f>IF(Kalkulator!$B$5&lt;&gt;"Samozatrudnienie (B2B)",0,IF(Kalkulator!$B$19="Skala podatkowa",MAX(0,ROUND(MAX(0,IF(Kalkulator!$B$24+R67&lt;='Założenia 2026'!$B$3,(Kalkulator!$B$24+R67)*'Założenia 2026'!$B$4,'Założenia 2026'!$B$3*'Założenia 2026'!$B$4+(Kalkulator!$B$24+R67-'Założenia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liniowy",MAX(0,ROUND(MAX(0,R67-MIN(Q67,MAX(0,'Założenia 2026'!$B$8-Kalkulator!$B$29)))*'Założenia 2026'!$B$7,0)),MAX(0,ROUND(MAX(0,D67-P67-0.5*Q67)*Kalkulator!$B$23,0)))))</f>
        <v>0</v>
      </c>
    </row>
    <row r="68" spans="1:19" x14ac:dyDescent="0.35">
      <c r="A68" s="1">
        <v>32</v>
      </c>
      <c r="B68" s="1">
        <f>IF(E67&lt;Kalkulator!$B$6,D67,B67)</f>
        <v>14654.229988809675</v>
      </c>
      <c r="C68" s="1">
        <f>IF(E67&gt;=Kalkulator!$B$6,D67,C67)</f>
        <v>14654.230000451207</v>
      </c>
      <c r="D68" s="1">
        <f t="shared" si="1"/>
        <v>14654.229994630441</v>
      </c>
      <c r="E68" s="1">
        <f>IF(Kalkulator!$B$5="Samozatrudnienie (B2B)",D68-Kalkulator!$B$20-P68-Q68-S68,D68-I68-J68-K68-O68)</f>
        <v>9999.9999946304415</v>
      </c>
      <c r="F68" s="1">
        <f>ROUND(IF(OR(Kalkulator!$B$5="Umowa o pracę (UoP)",AND(Kalkulator!$B$5="Umowa zlecenie",Kalkulator!$B$16="Pełne ZUS")),MAX(0,MIN(D68,'Założenia 2026'!$B$35-Kalkulator!$B$30))*'Założenia 2026'!$B$9,0),2)</f>
        <v>1430.25</v>
      </c>
      <c r="G68" s="1">
        <f>ROUND(IF(OR(Kalkulator!$B$5="Umowa o pracę (UoP)",AND(Kalkulator!$B$5="Umowa zlecenie",Kalkulator!$B$16="Pełne ZUS")),MAX(0,MIN(D68,'Założenia 2026'!$B$35-Kalkulator!$B$30))*'Założenia 2026'!$B$10,0),2)</f>
        <v>219.81</v>
      </c>
      <c r="H68" s="1">
        <f>ROUND(IF(OR(Kalkulator!$B$5="Umowa o pracę (UoP)",AND(Kalkulator!$B$5="Umowa zlecenie",Kalkulator!$B$16="Pełne ZUS",Kalkulator!$B$17="Tak")),D68*'Założenia 2026'!$B$11,0),2)</f>
        <v>359.03</v>
      </c>
      <c r="I68" s="1">
        <f t="shared" si="0"/>
        <v>2009.09</v>
      </c>
      <c r="J68" s="1">
        <f>ROUND(IF(AND(Kalkulator!$B$5="Umowa zlecenie",Kalkulator!$B$16="Student &lt;26 (bez ZUS/PIT)"),0,IF(OR(Kalkulator!$B$5="Umowa o pracę (UoP)",Kalkulator!$B$5="Umowa zlecenie"),(D68-I68)*'Założenia 2026'!$B$12,0)),2)</f>
        <v>1138.06</v>
      </c>
      <c r="K68" s="1">
        <f>ROUND(IF(AND(Kalkulator!$B$15="Tak",OR(Kalkulator!$B$5="Umowa o pracę (UoP)",AND(Kalkulator!$B$5="Umowa zlecenie",Kalkulator!$B$16="Pełne ZUS"))),D68*Kalkulator!$B$13,0),2)</f>
        <v>293.08</v>
      </c>
      <c r="L68" s="1">
        <f>ROUND(IF(AND(Kalkulator!$B$15="Tak",OR(Kalkulator!$B$5="Umowa o pracę (UoP)",AND(Kalkulator!$B$5="Umowa zlecenie",Kalkulator!$B$16="Pełne ZUS"))),D68*Kalkulator!$B$14,0),2)</f>
        <v>219.81</v>
      </c>
      <c r="M68" s="1">
        <f>IF(Kalkulator!$B$5="Umowa o pracę (UoP)",Kalkulator!$B$10,IF(Kalkulator!$B$5="Umowa zlecenie",(D68-I68)*'Założenia 2026'!$B$32,IF(Kalkulator!$B$5="Umowa o dzieło",D68*Kalkulator!$B$18,0)))</f>
        <v>250</v>
      </c>
      <c r="N68" s="1">
        <f>MAX(0,ROUND(IF(OR(Kalkulator!$B$5="Umowa o pracę (UoP)",Kalkulator!$B$5="Umowa zlecenie"),D68-I68-M68+L68,IF(Kalkulator!$B$5="Umowa o dzieło",D68-M68,0)),0))</f>
        <v>12615</v>
      </c>
      <c r="O68" s="1">
        <f>IF(AND(Kalkulator!$B$5="Umowa zlecenie",Kalkulator!$B$16="Student &lt;26 (bez ZUS/PIT)"),0,MAX(0,ROUND(IF(Kalkulator!$B$12+N68&lt;='Założenia 2026'!$B$3,(Kalkulator!$B$12+N68)*'Założenia 2026'!$B$4,'Założenia 2026'!$B$3*'Założenia 2026'!$B$4+(Kalkulator!$B$12+N68-'Założenia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68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68" s="1">
        <f>IF(Kalkulator!$B$5&lt;&gt;"Samozatrudnienie (B2B)",0,IF(Kalkulator!$B$19="Ryczałt",IF(Kalkulator!$B$25+D68&lt;=60000,'Założenia 2026'!$B$27,IF(Kalkulator!$B$25+D68&lt;=300000,'Założenia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68" s="1">
        <f>MAX(0,D68-Kalkulator!$B$20-P68)</f>
        <v>13654.229994630441</v>
      </c>
      <c r="S68" s="1">
        <f>IF(Kalkulator!$B$5&lt;&gt;"Samozatrudnienie (B2B)",0,IF(Kalkulator!$B$19="Skala podatkowa",MAX(0,ROUND(MAX(0,IF(Kalkulator!$B$24+R68&lt;='Założenia 2026'!$B$3,(Kalkulator!$B$24+R68)*'Założenia 2026'!$B$4,'Założenia 2026'!$B$3*'Założenia 2026'!$B$4+(Kalkulator!$B$24+R68-'Założenia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liniowy",MAX(0,ROUND(MAX(0,R68-MIN(Q68,MAX(0,'Założenia 2026'!$B$8-Kalkulator!$B$29)))*'Założenia 2026'!$B$7,0)),MAX(0,ROUND(MAX(0,D68-P68-0.5*Q68)*Kalkulator!$B$23,0)))))</f>
        <v>0</v>
      </c>
    </row>
    <row r="69" spans="1:19" x14ac:dyDescent="0.35">
      <c r="A69" s="1">
        <v>33</v>
      </c>
      <c r="B69" s="1">
        <f>IF(E68&lt;Kalkulator!$B$6,D68,B68)</f>
        <v>14654.229994630441</v>
      </c>
      <c r="C69" s="1">
        <f>IF(E68&gt;=Kalkulator!$B$6,D68,C68)</f>
        <v>14654.230000451207</v>
      </c>
      <c r="D69" s="1">
        <f t="shared" si="1"/>
        <v>14654.229997540824</v>
      </c>
      <c r="E69" s="1">
        <f>IF(Kalkulator!$B$5="Samozatrudnienie (B2B)",D69-Kalkulator!$B$20-P69-Q69-S69,D69-I69-J69-K69-O69)</f>
        <v>9999.9999975408246</v>
      </c>
      <c r="F69" s="1">
        <f>ROUND(IF(OR(Kalkulator!$B$5="Umowa o pracę (UoP)",AND(Kalkulator!$B$5="Umowa zlecenie",Kalkulator!$B$16="Pełne ZUS")),MAX(0,MIN(D69,'Założenia 2026'!$B$35-Kalkulator!$B$30))*'Założenia 2026'!$B$9,0),2)</f>
        <v>1430.25</v>
      </c>
      <c r="G69" s="1">
        <f>ROUND(IF(OR(Kalkulator!$B$5="Umowa o pracę (UoP)",AND(Kalkulator!$B$5="Umowa zlecenie",Kalkulator!$B$16="Pełne ZUS")),MAX(0,MIN(D69,'Założenia 2026'!$B$35-Kalkulator!$B$30))*'Założenia 2026'!$B$10,0),2)</f>
        <v>219.81</v>
      </c>
      <c r="H69" s="1">
        <f>ROUND(IF(OR(Kalkulator!$B$5="Umowa o pracę (UoP)",AND(Kalkulator!$B$5="Umowa zlecenie",Kalkulator!$B$16="Pełne ZUS",Kalkulator!$B$17="Tak")),D69*'Założenia 2026'!$B$11,0),2)</f>
        <v>359.03</v>
      </c>
      <c r="I69" s="1">
        <f t="shared" si="0"/>
        <v>2009.09</v>
      </c>
      <c r="J69" s="1">
        <f>ROUND(IF(AND(Kalkulator!$B$5="Umowa zlecenie",Kalkulator!$B$16="Student &lt;26 (bez ZUS/PIT)"),0,IF(OR(Kalkulator!$B$5="Umowa o pracę (UoP)",Kalkulator!$B$5="Umowa zlecenie"),(D69-I69)*'Założenia 2026'!$B$12,0)),2)</f>
        <v>1138.06</v>
      </c>
      <c r="K69" s="1">
        <f>ROUND(IF(AND(Kalkulator!$B$15="Tak",OR(Kalkulator!$B$5="Umowa o pracę (UoP)",AND(Kalkulator!$B$5="Umowa zlecenie",Kalkulator!$B$16="Pełne ZUS"))),D69*Kalkulator!$B$13,0),2)</f>
        <v>293.08</v>
      </c>
      <c r="L69" s="1">
        <f>ROUND(IF(AND(Kalkulator!$B$15="Tak",OR(Kalkulator!$B$5="Umowa o pracę (UoP)",AND(Kalkulator!$B$5="Umowa zlecenie",Kalkulator!$B$16="Pełne ZUS"))),D69*Kalkulator!$B$14,0),2)</f>
        <v>219.81</v>
      </c>
      <c r="M69" s="1">
        <f>IF(Kalkulator!$B$5="Umowa o pracę (UoP)",Kalkulator!$B$10,IF(Kalkulator!$B$5="Umowa zlecenie",(D69-I69)*'Założenia 2026'!$B$32,IF(Kalkulator!$B$5="Umowa o dzieło",D69*Kalkulator!$B$18,0)))</f>
        <v>250</v>
      </c>
      <c r="N69" s="1">
        <f>MAX(0,ROUND(IF(OR(Kalkulator!$B$5="Umowa o pracę (UoP)",Kalkulator!$B$5="Umowa zlecenie"),D69-I69-M69+L69,IF(Kalkulator!$B$5="Umowa o dzieło",D69-M69,0)),0))</f>
        <v>12615</v>
      </c>
      <c r="O69" s="1">
        <f>IF(AND(Kalkulator!$B$5="Umowa zlecenie",Kalkulator!$B$16="Student &lt;26 (bez ZUS/PIT)"),0,MAX(0,ROUND(IF(Kalkulator!$B$12+N69&lt;='Założenia 2026'!$B$3,(Kalkulator!$B$12+N69)*'Założenia 2026'!$B$4,'Założenia 2026'!$B$3*'Założenia 2026'!$B$4+(Kalkulator!$B$12+N69-'Założenia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69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69" s="1">
        <f>IF(Kalkulator!$B$5&lt;&gt;"Samozatrudnienie (B2B)",0,IF(Kalkulator!$B$19="Ryczałt",IF(Kalkulator!$B$25+D69&lt;=60000,'Założenia 2026'!$B$27,IF(Kalkulator!$B$25+D69&lt;=300000,'Założenia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69" s="1">
        <f>MAX(0,D69-Kalkulator!$B$20-P69)</f>
        <v>13654.229997540824</v>
      </c>
      <c r="S69" s="1">
        <f>IF(Kalkulator!$B$5&lt;&gt;"Samozatrudnienie (B2B)",0,IF(Kalkulator!$B$19="Skala podatkowa",MAX(0,ROUND(MAX(0,IF(Kalkulator!$B$24+R69&lt;='Założenia 2026'!$B$3,(Kalkulator!$B$24+R69)*'Założenia 2026'!$B$4,'Założenia 2026'!$B$3*'Założenia 2026'!$B$4+(Kalkulator!$B$24+R69-'Założenia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liniowy",MAX(0,ROUND(MAX(0,R69-MIN(Q69,MAX(0,'Założenia 2026'!$B$8-Kalkulator!$B$29)))*'Założenia 2026'!$B$7,0)),MAX(0,ROUND(MAX(0,D69-P69-0.5*Q69)*Kalkulator!$B$23,0)))))</f>
        <v>0</v>
      </c>
    </row>
    <row r="70" spans="1:19" x14ac:dyDescent="0.35">
      <c r="A70" s="1">
        <v>34</v>
      </c>
      <c r="B70" s="1">
        <f>IF(E69&lt;Kalkulator!$B$6,D69,B69)</f>
        <v>14654.229997540824</v>
      </c>
      <c r="C70" s="1">
        <f>IF(E69&gt;=Kalkulator!$B$6,D69,C69)</f>
        <v>14654.230000451207</v>
      </c>
      <c r="D70" s="1">
        <f t="shared" si="1"/>
        <v>14654.229998996016</v>
      </c>
      <c r="E70" s="1">
        <f>IF(Kalkulator!$B$5="Samozatrudnienie (B2B)",D70-Kalkulator!$B$20-P70-Q70-S70,D70-I70-J70-K70-O70)</f>
        <v>9999.9999989960161</v>
      </c>
      <c r="F70" s="1">
        <f>ROUND(IF(OR(Kalkulator!$B$5="Umowa o pracę (UoP)",AND(Kalkulator!$B$5="Umowa zlecenie",Kalkulator!$B$16="Pełne ZUS")),MAX(0,MIN(D70,'Założenia 2026'!$B$35-Kalkulator!$B$30))*'Założenia 2026'!$B$9,0),2)</f>
        <v>1430.25</v>
      </c>
      <c r="G70" s="1">
        <f>ROUND(IF(OR(Kalkulator!$B$5="Umowa o pracę (UoP)",AND(Kalkulator!$B$5="Umowa zlecenie",Kalkulator!$B$16="Pełne ZUS")),MAX(0,MIN(D70,'Założenia 2026'!$B$35-Kalkulator!$B$30))*'Założenia 2026'!$B$10,0),2)</f>
        <v>219.81</v>
      </c>
      <c r="H70" s="1">
        <f>ROUND(IF(OR(Kalkulator!$B$5="Umowa o pracę (UoP)",AND(Kalkulator!$B$5="Umowa zlecenie",Kalkulator!$B$16="Pełne ZUS",Kalkulator!$B$17="Tak")),D70*'Założenia 2026'!$B$11,0),2)</f>
        <v>359.03</v>
      </c>
      <c r="I70" s="1">
        <f t="shared" si="0"/>
        <v>2009.09</v>
      </c>
      <c r="J70" s="1">
        <f>ROUND(IF(AND(Kalkulator!$B$5="Umowa zlecenie",Kalkulator!$B$16="Student &lt;26 (bez ZUS/PIT)"),0,IF(OR(Kalkulator!$B$5="Umowa o pracę (UoP)",Kalkulator!$B$5="Umowa zlecenie"),(D70-I70)*'Założenia 2026'!$B$12,0)),2)</f>
        <v>1138.06</v>
      </c>
      <c r="K70" s="1">
        <f>ROUND(IF(AND(Kalkulator!$B$15="Tak",OR(Kalkulator!$B$5="Umowa o pracę (UoP)",AND(Kalkulator!$B$5="Umowa zlecenie",Kalkulator!$B$16="Pełne ZUS"))),D70*Kalkulator!$B$13,0),2)</f>
        <v>293.08</v>
      </c>
      <c r="L70" s="1">
        <f>ROUND(IF(AND(Kalkulator!$B$15="Tak",OR(Kalkulator!$B$5="Umowa o pracę (UoP)",AND(Kalkulator!$B$5="Umowa zlecenie",Kalkulator!$B$16="Pełne ZUS"))),D70*Kalkulator!$B$14,0),2)</f>
        <v>219.81</v>
      </c>
      <c r="M70" s="1">
        <f>IF(Kalkulator!$B$5="Umowa o pracę (UoP)",Kalkulator!$B$10,IF(Kalkulator!$B$5="Umowa zlecenie",(D70-I70)*'Założenia 2026'!$B$32,IF(Kalkulator!$B$5="Umowa o dzieło",D70*Kalkulator!$B$18,0)))</f>
        <v>250</v>
      </c>
      <c r="N70" s="1">
        <f>MAX(0,ROUND(IF(OR(Kalkulator!$B$5="Umowa o pracę (UoP)",Kalkulator!$B$5="Umowa zlecenie"),D70-I70-M70+L70,IF(Kalkulator!$B$5="Umowa o dzieło",D70-M70,0)),0))</f>
        <v>12615</v>
      </c>
      <c r="O70" s="1">
        <f>IF(AND(Kalkulator!$B$5="Umowa zlecenie",Kalkulator!$B$16="Student &lt;26 (bez ZUS/PIT)"),0,MAX(0,ROUND(IF(Kalkulator!$B$12+N70&lt;='Założenia 2026'!$B$3,(Kalkulator!$B$12+N70)*'Założenia 2026'!$B$4,'Założenia 2026'!$B$3*'Założenia 2026'!$B$4+(Kalkulator!$B$12+N70-'Założenia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70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70" s="1">
        <f>IF(Kalkulator!$B$5&lt;&gt;"Samozatrudnienie (B2B)",0,IF(Kalkulator!$B$19="Ryczałt",IF(Kalkulator!$B$25+D70&lt;=60000,'Założenia 2026'!$B$27,IF(Kalkulator!$B$25+D70&lt;=300000,'Założenia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70" s="1">
        <f>MAX(0,D70-Kalkulator!$B$20-P70)</f>
        <v>13654.229998996016</v>
      </c>
      <c r="S70" s="1">
        <f>IF(Kalkulator!$B$5&lt;&gt;"Samozatrudnienie (B2B)",0,IF(Kalkulator!$B$19="Skala podatkowa",MAX(0,ROUND(MAX(0,IF(Kalkulator!$B$24+R70&lt;='Założenia 2026'!$B$3,(Kalkulator!$B$24+R70)*'Założenia 2026'!$B$4,'Założenia 2026'!$B$3*'Założenia 2026'!$B$4+(Kalkulator!$B$24+R70-'Założenia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liniowy",MAX(0,ROUND(MAX(0,R70-MIN(Q70,MAX(0,'Założenia 2026'!$B$8-Kalkulator!$B$29)))*'Założenia 2026'!$B$7,0)),MAX(0,ROUND(MAX(0,D70-P70-0.5*Q70)*Kalkulator!$B$23,0)))))</f>
        <v>0</v>
      </c>
    </row>
    <row r="71" spans="1:19" x14ac:dyDescent="0.35">
      <c r="A71" s="1">
        <v>35</v>
      </c>
      <c r="B71" s="1">
        <f>IF(E70&lt;Kalkulator!$B$6,D70,B70)</f>
        <v>14654.229998996016</v>
      </c>
      <c r="C71" s="1">
        <f>IF(E70&gt;=Kalkulator!$B$6,D70,C70)</f>
        <v>14654.230000451207</v>
      </c>
      <c r="D71" s="1">
        <f t="shared" si="1"/>
        <v>14654.229999723611</v>
      </c>
      <c r="E71" s="1">
        <f>IF(Kalkulator!$B$5="Samozatrudnienie (B2B)",D71-Kalkulator!$B$20-P71-Q71-S71,D71-I71-J71-K71-O71)</f>
        <v>9999.9999997236118</v>
      </c>
      <c r="F71" s="1">
        <f>ROUND(IF(OR(Kalkulator!$B$5="Umowa o pracę (UoP)",AND(Kalkulator!$B$5="Umowa zlecenie",Kalkulator!$B$16="Pełne ZUS")),MAX(0,MIN(D71,'Założenia 2026'!$B$35-Kalkulator!$B$30))*'Założenia 2026'!$B$9,0),2)</f>
        <v>1430.25</v>
      </c>
      <c r="G71" s="1">
        <f>ROUND(IF(OR(Kalkulator!$B$5="Umowa o pracę (UoP)",AND(Kalkulator!$B$5="Umowa zlecenie",Kalkulator!$B$16="Pełne ZUS")),MAX(0,MIN(D71,'Założenia 2026'!$B$35-Kalkulator!$B$30))*'Założenia 2026'!$B$10,0),2)</f>
        <v>219.81</v>
      </c>
      <c r="H71" s="1">
        <f>ROUND(IF(OR(Kalkulator!$B$5="Umowa o pracę (UoP)",AND(Kalkulator!$B$5="Umowa zlecenie",Kalkulator!$B$16="Pełne ZUS",Kalkulator!$B$17="Tak")),D71*'Założenia 2026'!$B$11,0),2)</f>
        <v>359.03</v>
      </c>
      <c r="I71" s="1">
        <f t="shared" si="0"/>
        <v>2009.09</v>
      </c>
      <c r="J71" s="1">
        <f>ROUND(IF(AND(Kalkulator!$B$5="Umowa zlecenie",Kalkulator!$B$16="Student &lt;26 (bez ZUS/PIT)"),0,IF(OR(Kalkulator!$B$5="Umowa o pracę (UoP)",Kalkulator!$B$5="Umowa zlecenie"),(D71-I71)*'Założenia 2026'!$B$12,0)),2)</f>
        <v>1138.06</v>
      </c>
      <c r="K71" s="1">
        <f>ROUND(IF(AND(Kalkulator!$B$15="Tak",OR(Kalkulator!$B$5="Umowa o pracę (UoP)",AND(Kalkulator!$B$5="Umowa zlecenie",Kalkulator!$B$16="Pełne ZUS"))),D71*Kalkulator!$B$13,0),2)</f>
        <v>293.08</v>
      </c>
      <c r="L71" s="1">
        <f>ROUND(IF(AND(Kalkulator!$B$15="Tak",OR(Kalkulator!$B$5="Umowa o pracę (UoP)",AND(Kalkulator!$B$5="Umowa zlecenie",Kalkulator!$B$16="Pełne ZUS"))),D71*Kalkulator!$B$14,0),2)</f>
        <v>219.81</v>
      </c>
      <c r="M71" s="1">
        <f>IF(Kalkulator!$B$5="Umowa o pracę (UoP)",Kalkulator!$B$10,IF(Kalkulator!$B$5="Umowa zlecenie",(D71-I71)*'Założenia 2026'!$B$32,IF(Kalkulator!$B$5="Umowa o dzieło",D71*Kalkulator!$B$18,0)))</f>
        <v>250</v>
      </c>
      <c r="N71" s="1">
        <f>MAX(0,ROUND(IF(OR(Kalkulator!$B$5="Umowa o pracę (UoP)",Kalkulator!$B$5="Umowa zlecenie"),D71-I71-M71+L71,IF(Kalkulator!$B$5="Umowa o dzieło",D71-M71,0)),0))</f>
        <v>12615</v>
      </c>
      <c r="O71" s="1">
        <f>IF(AND(Kalkulator!$B$5="Umowa zlecenie",Kalkulator!$B$16="Student &lt;26 (bez ZUS/PIT)"),0,MAX(0,ROUND(IF(Kalkulator!$B$12+N71&lt;='Założenia 2026'!$B$3,(Kalkulator!$B$12+N71)*'Założenia 2026'!$B$4,'Założenia 2026'!$B$3*'Założenia 2026'!$B$4+(Kalkulator!$B$12+N71-'Założenia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1214</v>
      </c>
      <c r="P71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71" s="1">
        <f>IF(Kalkulator!$B$5&lt;&gt;"Samozatrudnienie (B2B)",0,IF(Kalkulator!$B$19="Ryczałt",IF(Kalkulator!$B$25+D71&lt;=60000,'Założenia 2026'!$B$27,IF(Kalkulator!$B$25+D71&lt;=300000,'Założenia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71" s="1">
        <f>MAX(0,D71-Kalkulator!$B$20-P71)</f>
        <v>13654.229999723611</v>
      </c>
      <c r="S71" s="1">
        <f>IF(Kalkulator!$B$5&lt;&gt;"Samozatrudnienie (B2B)",0,IF(Kalkulator!$B$19="Skala podatkowa",MAX(0,ROUND(MAX(0,IF(Kalkulator!$B$24+R71&lt;='Założenia 2026'!$B$3,(Kalkulator!$B$24+R71)*'Założenia 2026'!$B$4,'Założenia 2026'!$B$3*'Założenia 2026'!$B$4+(Kalkulator!$B$24+R71-'Założenia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liniowy",MAX(0,ROUND(MAX(0,R71-MIN(Q71,MAX(0,'Założenia 2026'!$B$8-Kalkulator!$B$29)))*'Założenia 2026'!$B$7,0)),MAX(0,ROUND(MAX(0,D71-P71-0.5*Q71)*Kalkulator!$B$23,0)))))</f>
        <v>0</v>
      </c>
    </row>
    <row r="72" spans="1:19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35">
      <c r="A73" s="1"/>
      <c r="B73" s="1"/>
      <c r="C73" s="1"/>
      <c r="D73" s="1">
        <f>IF(Kalkulator!$B$4="Brutto → netto",Kalkulator!$B$6,ROUND(D71,2))</f>
        <v>10000</v>
      </c>
      <c r="E73" s="1">
        <f>IF(Kalkulator!$B$5="Samozatrudnienie (B2B)",D73-Kalkulator!$B$20-P73-Q73-S73,D73-I73-J73-K73-O73)</f>
        <v>6929.39</v>
      </c>
      <c r="F73" s="1">
        <f>ROUND(IF(OR(Kalkulator!$B$5="Umowa o pracę (UoP)",AND(Kalkulator!$B$5="Umowa zlecenie",Kalkulator!$B$16="Pełne ZUS")),MAX(0,MIN(D73,'Założenia 2026'!$B$35-Kalkulator!$B$30))*'Założenia 2026'!$B$9,0),2)</f>
        <v>976</v>
      </c>
      <c r="G73" s="1">
        <f>ROUND(IF(OR(Kalkulator!$B$5="Umowa o pracę (UoP)",AND(Kalkulator!$B$5="Umowa zlecenie",Kalkulator!$B$16="Pełne ZUS")),MAX(0,MIN(D73,'Założenia 2026'!$B$35-Kalkulator!$B$30))*'Założenia 2026'!$B$10,0),2)</f>
        <v>150</v>
      </c>
      <c r="H73" s="1">
        <f>ROUND(IF(OR(Kalkulator!$B$5="Umowa o pracę (UoP)",AND(Kalkulator!$B$5="Umowa zlecenie",Kalkulator!$B$16="Pełne ZUS",Kalkulator!$B$17="Tak")),D73*'Założenia 2026'!$B$11,0),2)</f>
        <v>245</v>
      </c>
      <c r="I73" s="1">
        <f>SUM(F73:H73)</f>
        <v>1371</v>
      </c>
      <c r="J73" s="1">
        <f>ROUND(IF(AND(Kalkulator!$B$5="Umowa zlecenie",Kalkulator!$B$16="Student &lt;26 (bez ZUS/PIT)"),0,IF(OR(Kalkulator!$B$5="Umowa o pracę (UoP)",Kalkulator!$B$5="Umowa zlecenie"),(D73-I73)*'Założenia 2026'!$B$12,0)),2)</f>
        <v>776.61</v>
      </c>
      <c r="K73" s="1">
        <f>ROUND(IF(AND(Kalkulator!$B$15="Tak",OR(Kalkulator!$B$5="Umowa o pracę (UoP)",AND(Kalkulator!$B$5="Umowa zlecenie",Kalkulator!$B$16="Pełne ZUS"))),D73*Kalkulator!$B$13,0),2)</f>
        <v>200</v>
      </c>
      <c r="L73" s="1">
        <f>ROUND(IF(AND(Kalkulator!$B$15="Tak",OR(Kalkulator!$B$5="Umowa o pracę (UoP)",AND(Kalkulator!$B$5="Umowa zlecenie",Kalkulator!$B$16="Pełne ZUS"))),D73*Kalkulator!$B$14,0),2)</f>
        <v>150</v>
      </c>
      <c r="M73" s="1">
        <f>IF(Kalkulator!$B$5="Umowa o pracę (UoP)",Kalkulator!$B$10,IF(Kalkulator!$B$5="Umowa zlecenie",(D73-I73)*'Założenia 2026'!$B$32,IF(Kalkulator!$B$5="Umowa o dzieło",D73*Kalkulator!$B$18,0)))</f>
        <v>250</v>
      </c>
      <c r="N73" s="1">
        <f>MAX(0,ROUND(IF(OR(Kalkulator!$B$5="Umowa o pracę (UoP)",Kalkulator!$B$5="Umowa zlecenie"),D73-I73-M73+L73,IF(Kalkulator!$B$5="Umowa o dzieło",D73-M73,0)),0))</f>
        <v>8529</v>
      </c>
      <c r="O73" s="1">
        <f>IF(AND(Kalkulator!$B$5="Umowa zlecenie",Kalkulator!$B$16="Student &lt;26 (bez ZUS/PIT)"),0,MAX(0,ROUND(IF(Kalkulator!$B$12+N73&lt;='Założenia 2026'!$B$3,(Kalkulator!$B$12+N73)*'Założenia 2026'!$B$4,'Założenia 2026'!$B$3*'Założenia 2026'!$B$4+(Kalkulator!$B$12+N73-'Założenia 2026'!$B$3)*'Założenia 2026'!$B$5)-IF(Kalkulator!$B$12&lt;='Założenia 2026'!$B$3,Kalkulator!$B$12*'Założenia 2026'!$B$4,'Założenia 2026'!$B$3*'Założenia 2026'!$B$4+(Kalkulator!$B$12-'Założenia 2026'!$B$3)*'Założenia 2026'!$B$5)-Kalkulator!$B$11,0)))</f>
        <v>723</v>
      </c>
      <c r="P73" s="1">
        <f>IF(Kalkulator!$B$5&lt;&gt;"Samozatrudnienie (B2B)",0,IF(Kalkulator!$B$21="Pełny ZUS",IF(Kalkulator!$B$22="Tak",'Założenia 2026'!$B$24,'Założenia 2026'!$B$23),IF(Kalkulator!$B$21="Preferencyjny ZUS",IF(Kalkulator!$B$22="Tak",'Założenia 2026'!$B$26,'Założenia 2026'!$B$25),IF(Kalkulator!$B$21="Ulga na start",0,Kalkulator!$B$27))))</f>
        <v>0</v>
      </c>
      <c r="Q73" s="1">
        <f>IF(Kalkulator!$B$5&lt;&gt;"Samozatrudnienie (B2B)",0,IF(Kalkulator!$B$19="Ryczałt",IF(Kalkulator!$B$25+D73&lt;=60000,'Założenia 2026'!$B$27,IF(Kalkulator!$B$25+D73&lt;=300000,'Założenia 2026'!$B$28,'Założenia 2026'!$B$29)),IF(AND(Kalkulator!$B$21="Niestandardowe",Kalkulator!$B$28&gt;0),Kalkulator!$B$28,MAX(IF(Kalkulator!$B$7=1,'Założenia 2026'!$B$21,'Założenia 2026'!$B$22),IF(Kalkulator!$B$19="Podatek liniowy",Kalkulator!$B$26*0.049,Kalkulator!$B$26*0.09)))))</f>
        <v>0</v>
      </c>
      <c r="R73" s="1">
        <f>MAX(0,D73-Kalkulator!$B$20-P73)</f>
        <v>9000</v>
      </c>
      <c r="S73" s="1">
        <f>IF(Kalkulator!$B$5&lt;&gt;"Samozatrudnienie (B2B)",0,IF(Kalkulator!$B$19="Skala podatkowa",MAX(0,ROUND(MAX(0,IF(Kalkulator!$B$24+R73&lt;='Założenia 2026'!$B$3,(Kalkulator!$B$24+R73)*'Założenia 2026'!$B$4,'Założenia 2026'!$B$3*'Założenia 2026'!$B$4+(Kalkulator!$B$24+R73-'Założenia 2026'!$B$3)*'Założenia 2026'!$B$5)-'Założenia 2026'!$B$6)-MAX(0,IF(Kalkulator!$B$24&lt;='Założenia 2026'!$B$3,Kalkulator!$B$24*'Założenia 2026'!$B$4,'Założenia 2026'!$B$3*'Założenia 2026'!$B$4+(Kalkulator!$B$24-'Założenia 2026'!$B$3)*'Założenia 2026'!$B$5)-'Założenia 2026'!$B$6),0)),IF(Kalkulator!$B$19="Podatek liniowy",MAX(0,ROUND(MAX(0,R73-MIN(Q73,MAX(0,'Założenia 2026'!$B$8-Kalkulator!$B$29)))*'Założenia 2026'!$B$7,0)),MAX(0,ROUND(MAX(0,D73-P73-0.5*Q73)*Kalkulator!$B$23,0)))))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75783-62A0-446A-8B70-8F77A1ABA67A}">
  <dimension ref="A1:I12"/>
  <sheetViews>
    <sheetView showGridLines="0" workbookViewId="0">
      <pane ySplit="2" topLeftCell="A3" activePane="bottomLeft" state="frozen"/>
      <selection pane="bottomLeft" activeCell="E3" sqref="E3"/>
    </sheetView>
  </sheetViews>
  <sheetFormatPr defaultRowHeight="14.5" x14ac:dyDescent="0.35"/>
  <cols>
    <col min="1" max="1" width="38.1796875" customWidth="1"/>
    <col min="2" max="2" width="45.453125" customWidth="1"/>
    <col min="3" max="3" width="16.36328125" customWidth="1"/>
    <col min="4" max="4" width="19.08984375" customWidth="1"/>
    <col min="5" max="5" width="20" customWidth="1"/>
    <col min="6" max="6" width="20.90625" customWidth="1"/>
    <col min="7" max="7" width="33.6328125" customWidth="1"/>
    <col min="8" max="8" width="45.453125" customWidth="1"/>
    <col min="9" max="9" width="16.36328125" customWidth="1"/>
  </cols>
  <sheetData>
    <row r="1" spans="1:9" ht="39" x14ac:dyDescent="0.45">
      <c r="A1" s="21" t="s">
        <v>155</v>
      </c>
      <c r="B1" s="21"/>
      <c r="C1" s="21"/>
      <c r="D1" s="21"/>
      <c r="E1" s="21"/>
      <c r="F1" s="21"/>
      <c r="G1" s="21"/>
      <c r="H1" s="21"/>
      <c r="I1" s="21"/>
    </row>
    <row r="2" spans="1:9" x14ac:dyDescent="0.35">
      <c r="A2" s="22" t="s">
        <v>124</v>
      </c>
      <c r="B2" s="22" t="s">
        <v>156</v>
      </c>
      <c r="C2" s="22" t="s">
        <v>3</v>
      </c>
      <c r="D2" s="22" t="s">
        <v>157</v>
      </c>
      <c r="E2" s="22" t="s">
        <v>158</v>
      </c>
      <c r="F2" s="22" t="s">
        <v>159</v>
      </c>
      <c r="G2" s="22" t="s">
        <v>160</v>
      </c>
      <c r="H2" s="22" t="s">
        <v>4</v>
      </c>
      <c r="I2" s="22" t="s">
        <v>161</v>
      </c>
    </row>
    <row r="3" spans="1:9" ht="46" customHeight="1" x14ac:dyDescent="0.35">
      <c r="A3" s="23" t="s">
        <v>162</v>
      </c>
      <c r="B3" s="23" t="s">
        <v>163</v>
      </c>
      <c r="C3" s="23" t="s">
        <v>164</v>
      </c>
      <c r="D3" s="23">
        <v>2026</v>
      </c>
      <c r="E3" s="24" t="s">
        <v>207</v>
      </c>
      <c r="F3" s="23" t="s">
        <v>165</v>
      </c>
      <c r="G3" s="23" t="s">
        <v>166</v>
      </c>
      <c r="H3" s="23" t="s">
        <v>167</v>
      </c>
      <c r="I3" s="25">
        <v>46260</v>
      </c>
    </row>
    <row r="4" spans="1:9" ht="46" customHeight="1" x14ac:dyDescent="0.35">
      <c r="A4" s="23" t="s">
        <v>168</v>
      </c>
      <c r="B4" s="23" t="s">
        <v>169</v>
      </c>
      <c r="C4" s="23" t="s">
        <v>164</v>
      </c>
      <c r="D4" s="23">
        <v>2026</v>
      </c>
      <c r="E4" s="24" t="s">
        <v>207</v>
      </c>
      <c r="F4" s="23" t="s">
        <v>165</v>
      </c>
      <c r="G4" s="23" t="s">
        <v>168</v>
      </c>
      <c r="H4" s="23" t="s">
        <v>170</v>
      </c>
      <c r="I4" s="25">
        <v>46260</v>
      </c>
    </row>
    <row r="5" spans="1:9" ht="46" customHeight="1" x14ac:dyDescent="0.35">
      <c r="A5" s="23" t="s">
        <v>171</v>
      </c>
      <c r="B5" s="23" t="s">
        <v>172</v>
      </c>
      <c r="C5" s="23" t="s">
        <v>9</v>
      </c>
      <c r="D5" s="23">
        <v>2026</v>
      </c>
      <c r="E5" s="24" t="s">
        <v>207</v>
      </c>
      <c r="F5" s="23" t="s">
        <v>173</v>
      </c>
      <c r="G5" s="23" t="s">
        <v>174</v>
      </c>
      <c r="H5" s="23" t="s">
        <v>175</v>
      </c>
      <c r="I5" s="25">
        <v>46260</v>
      </c>
    </row>
    <row r="6" spans="1:9" ht="46" customHeight="1" x14ac:dyDescent="0.35">
      <c r="A6" s="23" t="s">
        <v>176</v>
      </c>
      <c r="B6" s="23" t="s">
        <v>177</v>
      </c>
      <c r="C6" s="23" t="s">
        <v>42</v>
      </c>
      <c r="D6" s="23">
        <v>2026</v>
      </c>
      <c r="E6" s="24" t="s">
        <v>207</v>
      </c>
      <c r="F6" s="23" t="s">
        <v>173</v>
      </c>
      <c r="G6" s="23" t="s">
        <v>178</v>
      </c>
      <c r="H6" s="23" t="s">
        <v>179</v>
      </c>
      <c r="I6" s="25">
        <v>46260</v>
      </c>
    </row>
    <row r="7" spans="1:9" ht="46" customHeight="1" x14ac:dyDescent="0.35">
      <c r="A7" s="23" t="s">
        <v>180</v>
      </c>
      <c r="B7" s="23" t="s">
        <v>181</v>
      </c>
      <c r="C7" s="23" t="s">
        <v>164</v>
      </c>
      <c r="D7" s="23">
        <v>2026</v>
      </c>
      <c r="E7" s="24" t="s">
        <v>207</v>
      </c>
      <c r="F7" s="23" t="s">
        <v>173</v>
      </c>
      <c r="G7" s="23" t="s">
        <v>182</v>
      </c>
      <c r="H7" s="23" t="s">
        <v>183</v>
      </c>
      <c r="I7" s="25">
        <v>46260</v>
      </c>
    </row>
    <row r="8" spans="1:9" ht="46" customHeight="1" x14ac:dyDescent="0.35">
      <c r="A8" s="23" t="s">
        <v>38</v>
      </c>
      <c r="B8" s="23">
        <v>4806</v>
      </c>
      <c r="C8" s="23" t="s">
        <v>39</v>
      </c>
      <c r="D8" s="23" t="s">
        <v>184</v>
      </c>
      <c r="E8" s="24" t="s">
        <v>207</v>
      </c>
      <c r="F8" s="23" t="s">
        <v>185</v>
      </c>
      <c r="G8" s="23" t="s">
        <v>186</v>
      </c>
      <c r="H8" s="23" t="s">
        <v>187</v>
      </c>
      <c r="I8" s="25">
        <v>46260</v>
      </c>
    </row>
    <row r="9" spans="1:9" ht="46" customHeight="1" x14ac:dyDescent="0.35">
      <c r="A9" s="23" t="s">
        <v>188</v>
      </c>
      <c r="B9" s="23" t="s">
        <v>189</v>
      </c>
      <c r="C9" s="23" t="s">
        <v>9</v>
      </c>
      <c r="D9" s="23">
        <v>2026</v>
      </c>
      <c r="E9" s="24" t="s">
        <v>207</v>
      </c>
      <c r="F9" s="23" t="s">
        <v>190</v>
      </c>
      <c r="G9" s="23" t="s">
        <v>191</v>
      </c>
      <c r="H9" s="23" t="s">
        <v>192</v>
      </c>
      <c r="I9" s="25">
        <v>46260</v>
      </c>
    </row>
    <row r="10" spans="1:9" ht="46" customHeight="1" x14ac:dyDescent="0.35">
      <c r="A10" s="23" t="s">
        <v>193</v>
      </c>
      <c r="B10" s="23" t="s">
        <v>194</v>
      </c>
      <c r="C10" s="23" t="s">
        <v>9</v>
      </c>
      <c r="D10" s="23">
        <v>2026</v>
      </c>
      <c r="E10" s="24" t="s">
        <v>207</v>
      </c>
      <c r="F10" s="23" t="s">
        <v>195</v>
      </c>
      <c r="G10" s="23" t="s">
        <v>196</v>
      </c>
      <c r="H10" s="23" t="s">
        <v>197</v>
      </c>
      <c r="I10" s="25">
        <v>46260</v>
      </c>
    </row>
    <row r="11" spans="1:9" ht="46" customHeight="1" x14ac:dyDescent="0.35">
      <c r="A11" s="23" t="s">
        <v>198</v>
      </c>
      <c r="B11" s="23" t="s">
        <v>199</v>
      </c>
      <c r="C11" s="23" t="s">
        <v>200</v>
      </c>
      <c r="D11" s="23" t="s">
        <v>201</v>
      </c>
      <c r="E11" s="24" t="s">
        <v>207</v>
      </c>
      <c r="F11" s="23" t="s">
        <v>202</v>
      </c>
      <c r="G11" s="23" t="s">
        <v>198</v>
      </c>
      <c r="H11" s="23" t="s">
        <v>203</v>
      </c>
      <c r="I11" s="25">
        <v>46260</v>
      </c>
    </row>
    <row r="12" spans="1:9" ht="46" customHeight="1" x14ac:dyDescent="0.35">
      <c r="A12" s="23" t="s">
        <v>204</v>
      </c>
      <c r="B12" s="23" t="s">
        <v>205</v>
      </c>
      <c r="C12" s="23" t="s">
        <v>200</v>
      </c>
      <c r="D12" s="23" t="s">
        <v>201</v>
      </c>
      <c r="E12" s="24" t="s">
        <v>207</v>
      </c>
      <c r="F12" s="23" t="s">
        <v>202</v>
      </c>
      <c r="G12" s="23" t="s">
        <v>206</v>
      </c>
      <c r="H12" s="23" t="s">
        <v>203</v>
      </c>
      <c r="I12" s="25">
        <v>46260</v>
      </c>
    </row>
  </sheetData>
  <hyperlinks>
    <hyperlink ref="E3" r:id="rId1" xr:uid="{A0940B31-97CD-4343-9D41-3AD9790CFCE4}"/>
    <hyperlink ref="E4" r:id="rId2" xr:uid="{1F19B20C-FB83-4916-AA90-1FA87A42001D}"/>
    <hyperlink ref="E5" r:id="rId3" xr:uid="{E4557DEB-41E3-41D6-B59B-8031D271A8FB}"/>
    <hyperlink ref="E6" r:id="rId4" xr:uid="{8AB4BBC8-F3A8-4938-863A-951AA9DC6789}"/>
    <hyperlink ref="E7" r:id="rId5" xr:uid="{7F1FE3C1-EF70-414E-84B5-72A6D4261BD8}"/>
    <hyperlink ref="E8" r:id="rId6" xr:uid="{90B4B95D-1ABE-4D32-BE5E-F0B2A1E340A4}"/>
    <hyperlink ref="E9" r:id="rId7" xr:uid="{C410CF0F-47C4-4EA5-B91F-B6C1F2F04ACA}"/>
    <hyperlink ref="E10" r:id="rId8" xr:uid="{D46ED295-416D-4F36-A60A-C1A596DB5E53}"/>
    <hyperlink ref="E11" r:id="rId9" xr:uid="{86E1ADEB-F2D9-4D31-A8AE-817E7804B07C}"/>
    <hyperlink ref="E12" r:id="rId10" xr:uid="{1A44C6EA-A5B9-4E83-8CC3-315178A1E15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19591-A3CB-4064-BE80-AC996388424F}">
  <dimension ref="A1:AD52"/>
  <sheetViews>
    <sheetView tabSelected="1" workbookViewId="0">
      <selection activeCell="G4" sqref="G4"/>
    </sheetView>
  </sheetViews>
  <sheetFormatPr defaultRowHeight="14.5" x14ac:dyDescent="0.35"/>
  <cols>
    <col min="2" max="2" width="19.1796875" bestFit="1" customWidth="1"/>
    <col min="3" max="3" width="12.1796875" bestFit="1" customWidth="1"/>
    <col min="4" max="4" width="21.453125" bestFit="1" customWidth="1"/>
    <col min="5" max="5" width="9" bestFit="1" customWidth="1"/>
    <col min="18" max="18" width="9.54296875" bestFit="1" customWidth="1"/>
    <col min="19" max="19" width="8.6328125" bestFit="1" customWidth="1"/>
    <col min="20" max="20" width="7.36328125" bestFit="1" customWidth="1"/>
    <col min="21" max="21" width="8.36328125" bestFit="1" customWidth="1"/>
    <col min="22" max="22" width="8.6328125" bestFit="1" customWidth="1"/>
    <col min="23" max="23" width="9.54296875" bestFit="1" customWidth="1"/>
    <col min="25" max="26" width="9.54296875" bestFit="1" customWidth="1"/>
    <col min="27" max="27" width="8.6328125" bestFit="1" customWidth="1"/>
    <col min="28" max="29" width="9.54296875" bestFit="1" customWidth="1"/>
    <col min="30" max="30" width="8.6328125" bestFit="1" customWidth="1"/>
  </cols>
  <sheetData>
    <row r="1" spans="1:30" x14ac:dyDescent="0.35">
      <c r="A1" s="36" t="s">
        <v>215</v>
      </c>
      <c r="B1" s="36"/>
      <c r="C1" s="36"/>
      <c r="D1" s="36"/>
      <c r="E1" s="36"/>
      <c r="F1" s="37" t="s">
        <v>216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 t="s">
        <v>217</v>
      </c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 ht="52" x14ac:dyDescent="0.35">
      <c r="A2" s="27" t="s">
        <v>218</v>
      </c>
      <c r="B2" s="27" t="s">
        <v>219</v>
      </c>
      <c r="C2" s="27" t="s">
        <v>220</v>
      </c>
      <c r="D2" s="27" t="s">
        <v>221</v>
      </c>
      <c r="E2" s="27" t="s">
        <v>222</v>
      </c>
      <c r="F2" s="27" t="s">
        <v>223</v>
      </c>
      <c r="G2" s="27" t="s">
        <v>224</v>
      </c>
      <c r="H2" s="27" t="s">
        <v>75</v>
      </c>
      <c r="I2" s="27" t="s">
        <v>225</v>
      </c>
      <c r="J2" s="27" t="s">
        <v>226</v>
      </c>
      <c r="K2" s="27" t="s">
        <v>227</v>
      </c>
      <c r="L2" s="27" t="s">
        <v>228</v>
      </c>
      <c r="M2" s="27" t="s">
        <v>229</v>
      </c>
      <c r="N2" s="27" t="s">
        <v>230</v>
      </c>
      <c r="O2" s="27" t="s">
        <v>231</v>
      </c>
      <c r="P2" s="27" t="s">
        <v>232</v>
      </c>
      <c r="Q2" s="27" t="s">
        <v>233</v>
      </c>
      <c r="R2" s="27" t="s">
        <v>234</v>
      </c>
      <c r="S2" s="27" t="s">
        <v>235</v>
      </c>
      <c r="T2" s="27" t="s">
        <v>236</v>
      </c>
      <c r="U2" s="27" t="s">
        <v>237</v>
      </c>
      <c r="V2" s="27" t="s">
        <v>238</v>
      </c>
      <c r="W2" s="27" t="s">
        <v>239</v>
      </c>
      <c r="X2" s="27" t="s">
        <v>240</v>
      </c>
      <c r="Y2" s="27" t="s">
        <v>241</v>
      </c>
      <c r="Z2" s="27" t="s">
        <v>242</v>
      </c>
      <c r="AA2" s="27" t="s">
        <v>243</v>
      </c>
      <c r="AB2" s="27" t="s">
        <v>244</v>
      </c>
      <c r="AC2" s="27" t="s">
        <v>245</v>
      </c>
      <c r="AD2" s="27" t="s">
        <v>246</v>
      </c>
    </row>
    <row r="3" spans="1:30" x14ac:dyDescent="0.35">
      <c r="A3" s="28">
        <v>1</v>
      </c>
      <c r="B3" s="29"/>
      <c r="C3" s="29"/>
      <c r="D3" s="29"/>
      <c r="E3" s="30"/>
      <c r="F3" s="28" t="s">
        <v>247</v>
      </c>
      <c r="G3" s="31">
        <v>30800</v>
      </c>
      <c r="H3" s="28" t="s">
        <v>248</v>
      </c>
      <c r="I3" s="28" t="s">
        <v>95</v>
      </c>
      <c r="J3" s="32">
        <v>250</v>
      </c>
      <c r="K3" s="28" t="s">
        <v>95</v>
      </c>
      <c r="L3" s="28" t="s">
        <v>214</v>
      </c>
      <c r="M3" s="28" t="s">
        <v>214</v>
      </c>
      <c r="N3" s="28" t="s">
        <v>214</v>
      </c>
      <c r="O3" s="28"/>
      <c r="P3" s="33"/>
      <c r="Q3" s="28"/>
      <c r="R3" s="35">
        <f>IF($G3="","",$G3)</f>
        <v>30800</v>
      </c>
      <c r="S3" s="35">
        <f>IF($G3="","",ROUND(IF($H3="B2B",IF($Q3="Duży",5652*19.52%,0),IF(OR($H3="Umowa o pracę",AND($H3="Umowa zlecenie",$L3&lt;&gt;"Tak")),R3*'Założenia 2026'!$B$9,0)),2))</f>
        <v>3006.08</v>
      </c>
      <c r="T3" s="35">
        <f>IF($G3="","",ROUND(IF($H3="B2B",IF($Q3="Duży",5652*8%,0),IF(OR($H3="Umowa o pracę",AND($H3="Umowa zlecenie",$L3&lt;&gt;"Tak")),R3*'Założenia 2026'!$B$10,0)),2))</f>
        <v>462</v>
      </c>
      <c r="U3" s="35">
        <f>IF($G3="","",ROUND(IF($H3="B2B",IF(AND($Q3="Duży",$M3="Tak"),5652*2.45%,0),IF(OR($H3="Umowa o pracę",AND($H3="Umowa zlecenie",$L3&lt;&gt;"Tak",$M3="Tak")),R3*'Założenia 2026'!$B$11,0)),2))</f>
        <v>754.6</v>
      </c>
      <c r="V3" s="35">
        <f>IF($G3="","",ROUND(IF($H3="B2B",IF($Q3="Duży",IF($M3="Tak",'Założenia 2026'!$B$24,'Założenia 2026'!$B$23),0),S3+T3+U3),2))</f>
        <v>4222.68</v>
      </c>
      <c r="W3" s="35">
        <f>IF($G3="","",ROUND(IF($H3="B2B",MAX(0,R3-V3),IF(OR($H3="Umowa o pracę",AND($H3="Umowa zlecenie",$L3&lt;&gt;"Tak")),R3-V3,IF($H3="Umowa o dzieło",R3,0))),2))</f>
        <v>26577.32</v>
      </c>
      <c r="X3" s="35">
        <f>IF($G3="","",ROUND(IF($H3="B2B",IF($O3="Ryczałt",'Założenia 2026'!$B$27,MAX('Założenia 2026'!$B$22,IF($O3="Liniowy",W3*4.9%,W3*9%))),IF(OR($H3="Umowa o pracę",AND($H3="Umowa zlecenie",$L3&lt;&gt;"Tak")),W3*'Założenia 2026'!$B$12,0)),2))</f>
        <v>2391.96</v>
      </c>
      <c r="Y3" s="35">
        <f>IF($G3="","",ROUND(IF($H3="Umowa o pracę",$J3,IF($H3="Umowa zlecenie",(R3-V3)*'Założenia 2026'!$B$32,IF($H3="Umowa o dzieło",R3*IF($N3="Tak",'Założenia 2026'!$B$33,'Założenia 2026'!$B$32),0))),2))</f>
        <v>250</v>
      </c>
      <c r="Z3" s="35">
        <f>IF($G3="","",MAX(0,ROUND(IF($H3="B2B",IF($O3="Ryczałt",R3-V3-0.5*X3,W3),IF(OR($H3="Umowa o pracę",$H3="Umowa zlecenie"),R3-V3-Y3,IF($H3="Umowa o dzieło",R3-Y3,0))),0)))</f>
        <v>26327</v>
      </c>
      <c r="AA3" s="35">
        <f>IF($G3="","",MAX(0,ROUND(IF(AND(OR($H3="Umowa o pracę",$H3="Umowa zlecenie"),$K3="Tak"),0,IF(AND($H3="Umowa zlecenie",$L3="Tak"),0,IF($H3="B2B",IF($O3="Liniowy",MAX(0,(Z3-MIN(X3,'Założenia 2026'!$B$8))*'Założenia 2026'!$B$7),IF($O3="Ryczałt",Z3*$P3,MAX(0,Z3*'Założenia 2026'!$B$4-'Założenia 2026'!$B$6/12))),MAX(0,Z3*'Założenia 2026'!$B$4-IF($I3="Tak",300,0))))),0)))</f>
        <v>0</v>
      </c>
      <c r="AB3" s="35">
        <f>IF($G3="","",ROUND(IF($H3="B2B",R3-V3-X3-AA3,R3-V3-X3-AA3),2))</f>
        <v>24185.360000000001</v>
      </c>
      <c r="AC3" s="35">
        <f>IF($G3="","",ROUND(IF($H3="B2B",R3,IF(OR($H3="Umowa o pracę",AND($H3="Umowa zlecenie",$L3&lt;&gt;"Tak")),R3+R3*('Założenia 2026'!$B$13+'Założenia 2026'!$B$14+'Założenia 2026'!$B$15+'Założenia 2026'!$B$16+'Założenia 2026'!$B$17),R3)),2))</f>
        <v>37107.839999999997</v>
      </c>
      <c r="AD3" s="34">
        <f>IF($G3="","",IFERROR((AC3-AB3)/AC3,0))</f>
        <v>0.34824123419740943</v>
      </c>
    </row>
    <row r="4" spans="1:30" x14ac:dyDescent="0.35">
      <c r="A4" s="28">
        <v>2</v>
      </c>
      <c r="B4" s="29"/>
      <c r="C4" s="29"/>
      <c r="D4" s="29"/>
      <c r="E4" s="30"/>
      <c r="F4" s="28" t="s">
        <v>247</v>
      </c>
      <c r="G4" s="31">
        <v>18000</v>
      </c>
      <c r="H4" s="28" t="s">
        <v>211</v>
      </c>
      <c r="I4" s="28" t="s">
        <v>95</v>
      </c>
      <c r="J4" s="32">
        <v>0</v>
      </c>
      <c r="K4" s="28" t="s">
        <v>214</v>
      </c>
      <c r="L4" s="28" t="s">
        <v>214</v>
      </c>
      <c r="M4" s="28" t="s">
        <v>214</v>
      </c>
      <c r="N4" s="28" t="s">
        <v>214</v>
      </c>
      <c r="O4" s="28"/>
      <c r="P4" s="33"/>
      <c r="Q4" s="28"/>
      <c r="R4" s="35">
        <f t="shared" ref="R4:R52" si="0">IF($G4="","",$G4)</f>
        <v>18000</v>
      </c>
      <c r="S4" s="35">
        <f>IF($G4="","",ROUND(IF($H4="B2B",IF($Q4="Duży",5652*19.52%,0),IF(OR($H4="Umowa o pracę",AND($H4="Umowa zlecenie",$L4&lt;&gt;"Tak")),R4*'Założenia 2026'!$B$9,0)),2))</f>
        <v>1756.8</v>
      </c>
      <c r="T4" s="35">
        <f>IF($G4="","",ROUND(IF($H4="B2B",IF($Q4="Duży",5652*8%,0),IF(OR($H4="Umowa o pracę",AND($H4="Umowa zlecenie",$L4&lt;&gt;"Tak")),R4*'Założenia 2026'!$B$10,0)),2))</f>
        <v>270</v>
      </c>
      <c r="U4" s="35">
        <f>IF($G4="","",ROUND(IF($H4="B2B",IF(AND($Q4="Duży",$M4="Tak"),5652*2.45%,0),IF(OR($H4="Umowa o pracę",AND($H4="Umowa zlecenie",$L4&lt;&gt;"Tak",$M4="Tak")),R4*'Założenia 2026'!$B$11,0)),2))</f>
        <v>0</v>
      </c>
      <c r="V4" s="35">
        <f>IF($G4="","",ROUND(IF($H4="B2B",IF($Q4="Duży",IF($M4="Tak",'Założenia 2026'!$B$24,'Założenia 2026'!$B$23),0),S4+T4+U4),2))</f>
        <v>2026.8</v>
      </c>
      <c r="W4" s="35">
        <f t="shared" ref="W4:W52" si="1">IF($G4="","",ROUND(IF($H4="B2B",MAX(0,R4-V4),IF(OR($H4="Umowa o pracę",AND($H4="Umowa zlecenie",$L4&lt;&gt;"Tak")),R4-V4,IF($H4="Umowa o dzieło",R4,0))),2))</f>
        <v>15973.2</v>
      </c>
      <c r="X4" s="35">
        <f>IF($G4="","",ROUND(IF($H4="B2B",IF($O4="Ryczałt",'Założenia 2026'!$B$27,MAX('Założenia 2026'!$B$22,IF($O4="Liniowy",W4*4.9%,W4*9%))),IF(OR($H4="Umowa o pracę",AND($H4="Umowa zlecenie",$L4&lt;&gt;"Tak")),W4*'Założenia 2026'!$B$12,0)),2))</f>
        <v>1437.59</v>
      </c>
      <c r="Y4" s="35">
        <f>IF($G4="","",ROUND(IF($H4="Umowa o pracę",$J4,IF($H4="Umowa zlecenie",(R4-V4)*'Założenia 2026'!$B$32,IF($H4="Umowa o dzieło",R4*IF($N4="Tak",'Założenia 2026'!$B$33,'Założenia 2026'!$B$32),0))),2))</f>
        <v>3194.64</v>
      </c>
      <c r="Z4" s="35">
        <f t="shared" ref="Z4:Z52" si="2">IF($G4="","",MAX(0,ROUND(IF($H4="B2B",IF($O4="Ryczałt",R4-V4-0.5*X4,W4),IF(OR($H4="Umowa o pracę",$H4="Umowa zlecenie"),R4-V4-Y4,IF($H4="Umowa o dzieło",R4-Y4,0))),0)))</f>
        <v>12779</v>
      </c>
      <c r="AA4" s="35">
        <f>IF($G4="","",MAX(0,ROUND(IF(AND(OR($H4="Umowa o pracę",$H4="Umowa zlecenie"),$K4="Tak"),0,IF(AND($H4="Umowa zlecenie",$L4="Tak"),0,IF($H4="B2B",IF($O4="Liniowy",MAX(0,(Z4-MIN(X4,'Założenia 2026'!$B$8))*'Założenia 2026'!$B$7),IF($O4="Ryczałt",Z4*$P4,MAX(0,Z4*'Założenia 2026'!$B$4-'Założenia 2026'!$B$6/12))),MAX(0,Z4*'Założenia 2026'!$B$4-IF($I4="Tak",300,0))))),0)))</f>
        <v>1233</v>
      </c>
      <c r="AB4" s="35">
        <f t="shared" ref="AB4:AB52" si="3">IF($G4="","",ROUND(IF($H4="B2B",R4-V4-X4-AA4,R4-V4-X4-AA4),2))</f>
        <v>13302.61</v>
      </c>
      <c r="AC4" s="35">
        <f>IF($G4="","",ROUND(IF($H4="B2B",R4,IF(OR($H4="Umowa o pracę",AND($H4="Umowa zlecenie",$L4&lt;&gt;"Tak")),R4+R4*('Założenia 2026'!$B$13+'Założenia 2026'!$B$14+'Założenia 2026'!$B$15+'Założenia 2026'!$B$16+'Założenia 2026'!$B$17),R4)),2))</f>
        <v>21686.400000000001</v>
      </c>
      <c r="AD4" s="34">
        <f t="shared" ref="AD4:AD52" si="4">IF($G4="","",IFERROR((AC4-AB4)/AC4,0))</f>
        <v>0.38659205769514537</v>
      </c>
    </row>
    <row r="5" spans="1:30" x14ac:dyDescent="0.35">
      <c r="A5" s="28">
        <v>3</v>
      </c>
      <c r="B5" s="29"/>
      <c r="C5" s="29"/>
      <c r="D5" s="29"/>
      <c r="E5" s="30"/>
      <c r="F5" s="28" t="s">
        <v>247</v>
      </c>
      <c r="G5" s="31">
        <v>16800</v>
      </c>
      <c r="H5" s="28" t="s">
        <v>212</v>
      </c>
      <c r="I5" s="28" t="s">
        <v>214</v>
      </c>
      <c r="J5" s="32">
        <v>0</v>
      </c>
      <c r="K5" s="28" t="s">
        <v>214</v>
      </c>
      <c r="L5" s="28" t="s">
        <v>214</v>
      </c>
      <c r="M5" s="28" t="s">
        <v>214</v>
      </c>
      <c r="N5" s="28" t="s">
        <v>95</v>
      </c>
      <c r="O5" s="28"/>
      <c r="P5" s="33"/>
      <c r="Q5" s="28"/>
      <c r="R5" s="35">
        <f t="shared" si="0"/>
        <v>16800</v>
      </c>
      <c r="S5" s="35">
        <f>IF($G5="","",ROUND(IF($H5="B2B",IF($Q5="Duży",5652*19.52%,0),IF(OR($H5="Umowa o pracę",AND($H5="Umowa zlecenie",$L5&lt;&gt;"Tak")),R5*'Założenia 2026'!$B$9,0)),2))</f>
        <v>0</v>
      </c>
      <c r="T5" s="35">
        <f>IF($G5="","",ROUND(IF($H5="B2B",IF($Q5="Duży",5652*8%,0),IF(OR($H5="Umowa o pracę",AND($H5="Umowa zlecenie",$L5&lt;&gt;"Tak")),R5*'Założenia 2026'!$B$10,0)),2))</f>
        <v>0</v>
      </c>
      <c r="U5" s="35">
        <f>IF($G5="","",ROUND(IF($H5="B2B",IF(AND($Q5="Duży",$M5="Tak"),5652*2.45%,0),IF(OR($H5="Umowa o pracę",AND($H5="Umowa zlecenie",$L5&lt;&gt;"Tak",$M5="Tak")),R5*'Założenia 2026'!$B$11,0)),2))</f>
        <v>0</v>
      </c>
      <c r="V5" s="35">
        <f>IF($G5="","",ROUND(IF($H5="B2B",IF($Q5="Duży",IF($M5="Tak",'Założenia 2026'!$B$24,'Założenia 2026'!$B$23),0),S5+T5+U5),2))</f>
        <v>0</v>
      </c>
      <c r="W5" s="35">
        <f t="shared" si="1"/>
        <v>16800</v>
      </c>
      <c r="X5" s="35">
        <f>IF($G5="","",ROUND(IF($H5="B2B",IF($O5="Ryczałt",'Założenia 2026'!$B$27,MAX('Założenia 2026'!$B$22,IF($O5="Liniowy",W5*4.9%,W5*9%))),IF(OR($H5="Umowa o pracę",AND($H5="Umowa zlecenie",$L5&lt;&gt;"Tak")),W5*'Założenia 2026'!$B$12,0)),2))</f>
        <v>0</v>
      </c>
      <c r="Y5" s="35">
        <f>IF($G5="","",ROUND(IF($H5="Umowa o pracę",$J5,IF($H5="Umowa zlecenie",(R5-V5)*'Założenia 2026'!$B$32,IF($H5="Umowa o dzieło",R5*IF($N5="Tak",'Założenia 2026'!$B$33,'Założenia 2026'!$B$32),0))),2))</f>
        <v>8400</v>
      </c>
      <c r="Z5" s="35">
        <f t="shared" si="2"/>
        <v>8400</v>
      </c>
      <c r="AA5" s="35">
        <f>IF($G5="","",MAX(0,ROUND(IF(AND(OR($H5="Umowa o pracę",$H5="Umowa zlecenie"),$K5="Tak"),0,IF(AND($H5="Umowa zlecenie",$L5="Tak"),0,IF($H5="B2B",IF($O5="Liniowy",MAX(0,(Z5-MIN(X5,'Założenia 2026'!$B$8))*'Założenia 2026'!$B$7),IF($O5="Ryczałt",Z5*$P5,MAX(0,Z5*'Założenia 2026'!$B$4-'Założenia 2026'!$B$6/12))),MAX(0,Z5*'Założenia 2026'!$B$4-IF($I5="Tak",300,0))))),0)))</f>
        <v>1008</v>
      </c>
      <c r="AB5" s="35">
        <f t="shared" si="3"/>
        <v>15792</v>
      </c>
      <c r="AC5" s="35">
        <f>IF($G5="","",ROUND(IF($H5="B2B",R5,IF(OR($H5="Umowa o pracę",AND($H5="Umowa zlecenie",$L5&lt;&gt;"Tak")),R5+R5*('Założenia 2026'!$B$13+'Założenia 2026'!$B$14+'Założenia 2026'!$B$15+'Założenia 2026'!$B$16+'Założenia 2026'!$B$17),R5)),2))</f>
        <v>16800</v>
      </c>
      <c r="AD5" s="34">
        <f t="shared" si="4"/>
        <v>0.06</v>
      </c>
    </row>
    <row r="6" spans="1:30" x14ac:dyDescent="0.35">
      <c r="A6" s="28">
        <v>4</v>
      </c>
      <c r="B6" s="29"/>
      <c r="C6" s="29"/>
      <c r="D6" s="29"/>
      <c r="E6" s="30"/>
      <c r="F6" s="28" t="s">
        <v>247</v>
      </c>
      <c r="G6" s="31">
        <v>9400</v>
      </c>
      <c r="H6" s="28" t="s">
        <v>249</v>
      </c>
      <c r="I6" s="28" t="s">
        <v>214</v>
      </c>
      <c r="J6" s="32">
        <v>0</v>
      </c>
      <c r="K6" s="28" t="s">
        <v>214</v>
      </c>
      <c r="L6" s="28" t="s">
        <v>214</v>
      </c>
      <c r="M6" s="28" t="s">
        <v>95</v>
      </c>
      <c r="N6" s="28" t="s">
        <v>214</v>
      </c>
      <c r="O6" s="28" t="s">
        <v>213</v>
      </c>
      <c r="P6" s="33">
        <v>8.5000000000000006E-2</v>
      </c>
      <c r="Q6" s="28" t="s">
        <v>250</v>
      </c>
      <c r="R6" s="35">
        <f t="shared" si="0"/>
        <v>9400</v>
      </c>
      <c r="S6" s="35">
        <f>IF($G6="","",ROUND(IF($H6="B2B",IF($Q6="Duży",5652*19.52%,0),IF(OR($H6="Umowa o pracę",AND($H6="Umowa zlecenie",$L6&lt;&gt;"Tak")),R6*'Założenia 2026'!$B$9,0)),2))</f>
        <v>1103.27</v>
      </c>
      <c r="T6" s="35">
        <f>IF($G6="","",ROUND(IF($H6="B2B",IF($Q6="Duży",5652*8%,0),IF(OR($H6="Umowa o pracę",AND($H6="Umowa zlecenie",$L6&lt;&gt;"Tak")),R6*'Założenia 2026'!$B$10,0)),2))</f>
        <v>452.16</v>
      </c>
      <c r="U6" s="35">
        <f>IF($G6="","",ROUND(IF($H6="B2B",IF(AND($Q6="Duży",$M6="Tak"),5652*2.45%,0),IF(OR($H6="Umowa o pracę",AND($H6="Umowa zlecenie",$L6&lt;&gt;"Tak",$M6="Tak")),R6*'Założenia 2026'!$B$11,0)),2))</f>
        <v>138.47</v>
      </c>
      <c r="V6" s="35">
        <f>IF($G6="","",ROUND(IF($H6="B2B",IF($Q6="Duży",IF($M6="Tak",'Założenia 2026'!$B$24,'Założenia 2026'!$B$23),0),S6+T6+U6),2))</f>
        <v>1926.76</v>
      </c>
      <c r="W6" s="35">
        <f t="shared" si="1"/>
        <v>7473.24</v>
      </c>
      <c r="X6" s="35">
        <f>IF($G6="","",ROUND(IF($H6="B2B",IF($O6="Ryczałt",'Założenia 2026'!$B$27,MAX('Założenia 2026'!$B$22,IF($O6="Liniowy",W6*4.9%,W6*9%))),IF(OR($H6="Umowa o pracę",AND($H6="Umowa zlecenie",$L6&lt;&gt;"Tak")),W6*'Założenia 2026'!$B$12,0)),2))</f>
        <v>498.35</v>
      </c>
      <c r="Y6" s="35">
        <f>IF($G6="","",ROUND(IF($H6="Umowa o pracę",$J6,IF($H6="Umowa zlecenie",(R6-V6)*'Założenia 2026'!$B$32,IF($H6="Umowa o dzieło",R6*IF($N6="Tak",'Założenia 2026'!$B$33,'Założenia 2026'!$B$32),0))),2))</f>
        <v>0</v>
      </c>
      <c r="Z6" s="35">
        <f t="shared" si="2"/>
        <v>7224</v>
      </c>
      <c r="AA6" s="35">
        <f>IF($G6="","",MAX(0,ROUND(IF(AND(OR($H6="Umowa o pracę",$H6="Umowa zlecenie"),$K6="Tak"),0,IF(AND($H6="Umowa zlecenie",$L6="Tak"),0,IF($H6="B2B",IF($O6="Liniowy",MAX(0,(Z6-MIN(X6,'Założenia 2026'!$B$8))*'Założenia 2026'!$B$7),IF($O6="Ryczałt",Z6*$P6,MAX(0,Z6*'Założenia 2026'!$B$4-'Założenia 2026'!$B$6/12))),MAX(0,Z6*'Założenia 2026'!$B$4-IF($I6="Tak",300,0))))),0)))</f>
        <v>614</v>
      </c>
      <c r="AB6" s="35">
        <f t="shared" si="3"/>
        <v>6360.89</v>
      </c>
      <c r="AC6" s="35">
        <f>IF($G6="","",ROUND(IF($H6="B2B",R6,IF(OR($H6="Umowa o pracę",AND($H6="Umowa zlecenie",$L6&lt;&gt;"Tak")),R6+R6*('Założenia 2026'!$B$13+'Założenia 2026'!$B$14+'Założenia 2026'!$B$15+'Założenia 2026'!$B$16+'Założenia 2026'!$B$17),R6)),2))</f>
        <v>9400</v>
      </c>
      <c r="AD6" s="34">
        <f t="shared" si="4"/>
        <v>0.32330957446808506</v>
      </c>
    </row>
    <row r="7" spans="1:30" x14ac:dyDescent="0.35">
      <c r="A7" s="28">
        <v>5</v>
      </c>
      <c r="B7" s="29"/>
      <c r="C7" s="29"/>
      <c r="D7" s="29"/>
      <c r="E7" s="30"/>
      <c r="F7" s="28" t="s">
        <v>247</v>
      </c>
      <c r="G7" s="31">
        <v>10000</v>
      </c>
      <c r="H7" s="28" t="s">
        <v>248</v>
      </c>
      <c r="I7" s="28" t="s">
        <v>95</v>
      </c>
      <c r="J7" s="32">
        <v>250</v>
      </c>
      <c r="K7" s="28" t="s">
        <v>214</v>
      </c>
      <c r="L7" s="28" t="s">
        <v>214</v>
      </c>
      <c r="M7" s="28" t="s">
        <v>214</v>
      </c>
      <c r="N7" s="28" t="s">
        <v>214</v>
      </c>
      <c r="O7" s="28"/>
      <c r="P7" s="33"/>
      <c r="Q7" s="28"/>
      <c r="R7" s="35">
        <f t="shared" si="0"/>
        <v>10000</v>
      </c>
      <c r="S7" s="35">
        <f>IF($G7="","",ROUND(IF($H7="B2B",IF($Q7="Duży",5652*19.52%,0),IF(OR($H7="Umowa o pracę",AND($H7="Umowa zlecenie",$L7&lt;&gt;"Tak")),R7*'Założenia 2026'!$B$9,0)),2))</f>
        <v>976</v>
      </c>
      <c r="T7" s="35">
        <f>IF($G7="","",ROUND(IF($H7="B2B",IF($Q7="Duży",5652*8%,0),IF(OR($H7="Umowa o pracę",AND($H7="Umowa zlecenie",$L7&lt;&gt;"Tak")),R7*'Założenia 2026'!$B$10,0)),2))</f>
        <v>150</v>
      </c>
      <c r="U7" s="35">
        <f>IF($G7="","",ROUND(IF($H7="B2B",IF(AND($Q7="Duży",$M7="Tak"),5652*2.45%,0),IF(OR($H7="Umowa o pracę",AND($H7="Umowa zlecenie",$L7&lt;&gt;"Tak",$M7="Tak")),R7*'Założenia 2026'!$B$11,0)),2))</f>
        <v>245</v>
      </c>
      <c r="V7" s="35">
        <f>IF($G7="","",ROUND(IF($H7="B2B",IF($Q7="Duży",IF($M7="Tak",'Założenia 2026'!$B$24,'Założenia 2026'!$B$23),0),S7+T7+U7),2))</f>
        <v>1371</v>
      </c>
      <c r="W7" s="35">
        <f t="shared" si="1"/>
        <v>8629</v>
      </c>
      <c r="X7" s="35">
        <f>IF($G7="","",ROUND(IF($H7="B2B",IF($O7="Ryczałt",'Założenia 2026'!$B$27,MAX('Założenia 2026'!$B$22,IF($O7="Liniowy",W7*4.9%,W7*9%))),IF(OR($H7="Umowa o pracę",AND($H7="Umowa zlecenie",$L7&lt;&gt;"Tak")),W7*'Założenia 2026'!$B$12,0)),2))</f>
        <v>776.61</v>
      </c>
      <c r="Y7" s="35">
        <f>IF($G7="","",ROUND(IF($H7="Umowa o pracę",$J7,IF($H7="Umowa zlecenie",(R7-V7)*'Założenia 2026'!$B$32,IF($H7="Umowa o dzieło",R7*IF($N7="Tak",'Założenia 2026'!$B$33,'Założenia 2026'!$B$32),0))),2))</f>
        <v>250</v>
      </c>
      <c r="Z7" s="35">
        <f t="shared" si="2"/>
        <v>8379</v>
      </c>
      <c r="AA7" s="35">
        <f>IF($G7="","",MAX(0,ROUND(IF(AND(OR($H7="Umowa o pracę",$H7="Umowa zlecenie"),$K7="Tak"),0,IF(AND($H7="Umowa zlecenie",$L7="Tak"),0,IF($H7="B2B",IF($O7="Liniowy",MAX(0,(Z7-MIN(X7,'Założenia 2026'!$B$8))*'Założenia 2026'!$B$7),IF($O7="Ryczałt",Z7*$P7,MAX(0,Z7*'Założenia 2026'!$B$4-'Założenia 2026'!$B$6/12))),MAX(0,Z7*'Założenia 2026'!$B$4-IF($I7="Tak",300,0))))),0)))</f>
        <v>705</v>
      </c>
      <c r="AB7" s="35">
        <f t="shared" si="3"/>
        <v>7147.39</v>
      </c>
      <c r="AC7" s="35">
        <f>IF($G7="","",ROUND(IF($H7="B2B",R7,IF(OR($H7="Umowa o pracę",AND($H7="Umowa zlecenie",$L7&lt;&gt;"Tak")),R7+R7*('Założenia 2026'!$B$13+'Założenia 2026'!$B$14+'Założenia 2026'!$B$15+'Założenia 2026'!$B$16+'Założenia 2026'!$B$17),R7)),2))</f>
        <v>12048</v>
      </c>
      <c r="AD7" s="34">
        <f t="shared" si="4"/>
        <v>0.40675713811420983</v>
      </c>
    </row>
    <row r="8" spans="1:30" x14ac:dyDescent="0.35">
      <c r="A8" s="28">
        <v>6</v>
      </c>
      <c r="B8" s="29"/>
      <c r="C8" s="29"/>
      <c r="D8" s="29"/>
      <c r="E8" s="30"/>
      <c r="F8" s="28" t="s">
        <v>247</v>
      </c>
      <c r="G8" s="31">
        <v>12700</v>
      </c>
      <c r="H8" s="28" t="s">
        <v>211</v>
      </c>
      <c r="I8" s="28" t="s">
        <v>95</v>
      </c>
      <c r="J8" s="32">
        <v>0</v>
      </c>
      <c r="K8" s="28" t="s">
        <v>214</v>
      </c>
      <c r="L8" s="28" t="s">
        <v>95</v>
      </c>
      <c r="M8" s="28" t="s">
        <v>214</v>
      </c>
      <c r="N8" s="28" t="s">
        <v>214</v>
      </c>
      <c r="O8" s="28"/>
      <c r="P8" s="33"/>
      <c r="Q8" s="28"/>
      <c r="R8" s="35">
        <f t="shared" si="0"/>
        <v>12700</v>
      </c>
      <c r="S8" s="35">
        <f>IF($G8="","",ROUND(IF($H8="B2B",IF($Q8="Duży",5652*19.52%,0),IF(OR($H8="Umowa o pracę",AND($H8="Umowa zlecenie",$L8&lt;&gt;"Tak")),R8*'Założenia 2026'!$B$9,0)),2))</f>
        <v>0</v>
      </c>
      <c r="T8" s="35">
        <f>IF($G8="","",ROUND(IF($H8="B2B",IF($Q8="Duży",5652*8%,0),IF(OR($H8="Umowa o pracę",AND($H8="Umowa zlecenie",$L8&lt;&gt;"Tak")),R8*'Założenia 2026'!$B$10,0)),2))</f>
        <v>0</v>
      </c>
      <c r="U8" s="35">
        <f>IF($G8="","",ROUND(IF($H8="B2B",IF(AND($Q8="Duży",$M8="Tak"),5652*2.45%,0),IF(OR($H8="Umowa o pracę",AND($H8="Umowa zlecenie",$L8&lt;&gt;"Tak",$M8="Tak")),R8*'Założenia 2026'!$B$11,0)),2))</f>
        <v>0</v>
      </c>
      <c r="V8" s="35">
        <f>IF($G8="","",ROUND(IF($H8="B2B",IF($Q8="Duży",IF($M8="Tak",'Założenia 2026'!$B$24,'Założenia 2026'!$B$23),0),S8+T8+U8),2))</f>
        <v>0</v>
      </c>
      <c r="W8" s="35">
        <f t="shared" si="1"/>
        <v>0</v>
      </c>
      <c r="X8" s="35">
        <f>IF($G8="","",ROUND(IF($H8="B2B",IF($O8="Ryczałt",'Założenia 2026'!$B$27,MAX('Założenia 2026'!$B$22,IF($O8="Liniowy",W8*4.9%,W8*9%))),IF(OR($H8="Umowa o pracę",AND($H8="Umowa zlecenie",$L8&lt;&gt;"Tak")),W8*'Założenia 2026'!$B$12,0)),2))</f>
        <v>0</v>
      </c>
      <c r="Y8" s="35">
        <f>IF($G8="","",ROUND(IF($H8="Umowa o pracę",$J8,IF($H8="Umowa zlecenie",(R8-V8)*'Założenia 2026'!$B$32,IF($H8="Umowa o dzieło",R8*IF($N8="Tak",'Założenia 2026'!$B$33,'Założenia 2026'!$B$32),0))),2))</f>
        <v>2540</v>
      </c>
      <c r="Z8" s="35">
        <f t="shared" si="2"/>
        <v>10160</v>
      </c>
      <c r="AA8" s="35">
        <f>IF($G8="","",MAX(0,ROUND(IF(AND(OR($H8="Umowa o pracę",$H8="Umowa zlecenie"),$K8="Tak"),0,IF(AND($H8="Umowa zlecenie",$L8="Tak"),0,IF($H8="B2B",IF($O8="Liniowy",MAX(0,(Z8-MIN(X8,'Założenia 2026'!$B$8))*'Założenia 2026'!$B$7),IF($O8="Ryczałt",Z8*$P8,MAX(0,Z8*'Założenia 2026'!$B$4-'Założenia 2026'!$B$6/12))),MAX(0,Z8*'Założenia 2026'!$B$4-IF($I8="Tak",300,0))))),0)))</f>
        <v>0</v>
      </c>
      <c r="AB8" s="35">
        <f t="shared" si="3"/>
        <v>12700</v>
      </c>
      <c r="AC8" s="35">
        <f>IF($G8="","",ROUND(IF($H8="B2B",R8,IF(OR($H8="Umowa o pracę",AND($H8="Umowa zlecenie",$L8&lt;&gt;"Tak")),R8+R8*('Założenia 2026'!$B$13+'Założenia 2026'!$B$14+'Założenia 2026'!$B$15+'Założenia 2026'!$B$16+'Założenia 2026'!$B$17),R8)),2))</f>
        <v>12700</v>
      </c>
      <c r="AD8" s="34">
        <f t="shared" si="4"/>
        <v>0</v>
      </c>
    </row>
    <row r="9" spans="1:30" x14ac:dyDescent="0.35">
      <c r="A9" s="28">
        <v>7</v>
      </c>
      <c r="B9" s="29"/>
      <c r="C9" s="29"/>
      <c r="D9" s="29"/>
      <c r="E9" s="30"/>
      <c r="F9" s="28" t="s">
        <v>247</v>
      </c>
      <c r="G9" s="31">
        <v>16500</v>
      </c>
      <c r="H9" s="28" t="s">
        <v>212</v>
      </c>
      <c r="I9" s="28" t="s">
        <v>214</v>
      </c>
      <c r="J9" s="32">
        <v>0</v>
      </c>
      <c r="K9" s="28" t="s">
        <v>214</v>
      </c>
      <c r="L9" s="28" t="s">
        <v>214</v>
      </c>
      <c r="M9" s="28" t="s">
        <v>214</v>
      </c>
      <c r="N9" s="28" t="s">
        <v>95</v>
      </c>
      <c r="O9" s="28"/>
      <c r="P9" s="33"/>
      <c r="Q9" s="28"/>
      <c r="R9" s="35">
        <f t="shared" si="0"/>
        <v>16500</v>
      </c>
      <c r="S9" s="35">
        <f>IF($G9="","",ROUND(IF($H9="B2B",IF($Q9="Duży",5652*19.52%,0),IF(OR($H9="Umowa o pracę",AND($H9="Umowa zlecenie",$L9&lt;&gt;"Tak")),R9*'Założenia 2026'!$B$9,0)),2))</f>
        <v>0</v>
      </c>
      <c r="T9" s="35">
        <f>IF($G9="","",ROUND(IF($H9="B2B",IF($Q9="Duży",5652*8%,0),IF(OR($H9="Umowa o pracę",AND($H9="Umowa zlecenie",$L9&lt;&gt;"Tak")),R9*'Założenia 2026'!$B$10,0)),2))</f>
        <v>0</v>
      </c>
      <c r="U9" s="35">
        <f>IF($G9="","",ROUND(IF($H9="B2B",IF(AND($Q9="Duży",$M9="Tak"),5652*2.45%,0),IF(OR($H9="Umowa o pracę",AND($H9="Umowa zlecenie",$L9&lt;&gt;"Tak",$M9="Tak")),R9*'Założenia 2026'!$B$11,0)),2))</f>
        <v>0</v>
      </c>
      <c r="V9" s="35">
        <f>IF($G9="","",ROUND(IF($H9="B2B",IF($Q9="Duży",IF($M9="Tak",'Założenia 2026'!$B$24,'Założenia 2026'!$B$23),0),S9+T9+U9),2))</f>
        <v>0</v>
      </c>
      <c r="W9" s="35">
        <f t="shared" si="1"/>
        <v>16500</v>
      </c>
      <c r="X9" s="35">
        <f>IF($G9="","",ROUND(IF($H9="B2B",IF($O9="Ryczałt",'Założenia 2026'!$B$27,MAX('Założenia 2026'!$B$22,IF($O9="Liniowy",W9*4.9%,W9*9%))),IF(OR($H9="Umowa o pracę",AND($H9="Umowa zlecenie",$L9&lt;&gt;"Tak")),W9*'Założenia 2026'!$B$12,0)),2))</f>
        <v>0</v>
      </c>
      <c r="Y9" s="35">
        <f>IF($G9="","",ROUND(IF($H9="Umowa o pracę",$J9,IF($H9="Umowa zlecenie",(R9-V9)*'Założenia 2026'!$B$32,IF($H9="Umowa o dzieło",R9*IF($N9="Tak",'Założenia 2026'!$B$33,'Założenia 2026'!$B$32),0))),2))</f>
        <v>8250</v>
      </c>
      <c r="Z9" s="35">
        <f t="shared" si="2"/>
        <v>8250</v>
      </c>
      <c r="AA9" s="35">
        <f>IF($G9="","",MAX(0,ROUND(IF(AND(OR($H9="Umowa o pracę",$H9="Umowa zlecenie"),$K9="Tak"),0,IF(AND($H9="Umowa zlecenie",$L9="Tak"),0,IF($H9="B2B",IF($O9="Liniowy",MAX(0,(Z9-MIN(X9,'Założenia 2026'!$B$8))*'Założenia 2026'!$B$7),IF($O9="Ryczałt",Z9*$P9,MAX(0,Z9*'Założenia 2026'!$B$4-'Założenia 2026'!$B$6/12))),MAX(0,Z9*'Założenia 2026'!$B$4-IF($I9="Tak",300,0))))),0)))</f>
        <v>990</v>
      </c>
      <c r="AB9" s="35">
        <f t="shared" si="3"/>
        <v>15510</v>
      </c>
      <c r="AC9" s="35">
        <f>IF($G9="","",ROUND(IF($H9="B2B",R9,IF(OR($H9="Umowa o pracę",AND($H9="Umowa zlecenie",$L9&lt;&gt;"Tak")),R9+R9*('Założenia 2026'!$B$13+'Założenia 2026'!$B$14+'Założenia 2026'!$B$15+'Założenia 2026'!$B$16+'Założenia 2026'!$B$17),R9)),2))</f>
        <v>16500</v>
      </c>
      <c r="AD9" s="34">
        <f t="shared" si="4"/>
        <v>0.06</v>
      </c>
    </row>
    <row r="10" spans="1:30" x14ac:dyDescent="0.35">
      <c r="A10" s="28">
        <v>8</v>
      </c>
      <c r="B10" s="29"/>
      <c r="C10" s="29"/>
      <c r="D10" s="29"/>
      <c r="E10" s="30"/>
      <c r="F10" s="28" t="s">
        <v>247</v>
      </c>
      <c r="G10" s="31">
        <v>5800</v>
      </c>
      <c r="H10" s="28" t="s">
        <v>249</v>
      </c>
      <c r="I10" s="28" t="s">
        <v>214</v>
      </c>
      <c r="J10" s="32">
        <v>0</v>
      </c>
      <c r="K10" s="28" t="s">
        <v>214</v>
      </c>
      <c r="L10" s="28" t="s">
        <v>214</v>
      </c>
      <c r="M10" s="28" t="s">
        <v>214</v>
      </c>
      <c r="N10" s="28" t="s">
        <v>214</v>
      </c>
      <c r="O10" s="28" t="s">
        <v>251</v>
      </c>
      <c r="P10" s="33"/>
      <c r="Q10" s="28" t="s">
        <v>250</v>
      </c>
      <c r="R10" s="35">
        <f t="shared" si="0"/>
        <v>5800</v>
      </c>
      <c r="S10" s="35">
        <f>IF($G10="","",ROUND(IF($H10="B2B",IF($Q10="Duży",5652*19.52%,0),IF(OR($H10="Umowa o pracę",AND($H10="Umowa zlecenie",$L10&lt;&gt;"Tak")),R10*'Założenia 2026'!$B$9,0)),2))</f>
        <v>1103.27</v>
      </c>
      <c r="T10" s="35">
        <f>IF($G10="","",ROUND(IF($H10="B2B",IF($Q10="Duży",5652*8%,0),IF(OR($H10="Umowa o pracę",AND($H10="Umowa zlecenie",$L10&lt;&gt;"Tak")),R10*'Założenia 2026'!$B$10,0)),2))</f>
        <v>452.16</v>
      </c>
      <c r="U10" s="35">
        <f>IF($G10="","",ROUND(IF($H10="B2B",IF(AND($Q10="Duży",$M10="Tak"),5652*2.45%,0),IF(OR($H10="Umowa o pracę",AND($H10="Umowa zlecenie",$L10&lt;&gt;"Tak",$M10="Tak")),R10*'Założenia 2026'!$B$11,0)),2))</f>
        <v>0</v>
      </c>
      <c r="V10" s="35">
        <f>IF($G10="","",ROUND(IF($H10="B2B",IF($Q10="Duży",IF($M10="Tak",'Założenia 2026'!$B$24,'Założenia 2026'!$B$23),0),S10+T10+U10),2))</f>
        <v>1788.29</v>
      </c>
      <c r="W10" s="35">
        <f t="shared" si="1"/>
        <v>4011.71</v>
      </c>
      <c r="X10" s="35">
        <f>IF($G10="","",ROUND(IF($H10="B2B",IF($O10="Ryczałt",'Założenia 2026'!$B$27,MAX('Założenia 2026'!$B$22,IF($O10="Liniowy",W10*4.9%,W10*9%))),IF(OR($H10="Umowa o pracę",AND($H10="Umowa zlecenie",$L10&lt;&gt;"Tak")),W10*'Założenia 2026'!$B$12,0)),2))</f>
        <v>432.54</v>
      </c>
      <c r="Y10" s="35">
        <f>IF($G10="","",ROUND(IF($H10="Umowa o pracę",$J10,IF($H10="Umowa zlecenie",(R10-V10)*'Założenia 2026'!$B$32,IF($H10="Umowa o dzieło",R10*IF($N10="Tak",'Założenia 2026'!$B$33,'Założenia 2026'!$B$32),0))),2))</f>
        <v>0</v>
      </c>
      <c r="Z10" s="35">
        <f t="shared" si="2"/>
        <v>4012</v>
      </c>
      <c r="AA10" s="35">
        <f>IF($G10="","",MAX(0,ROUND(IF(AND(OR($H10="Umowa o pracę",$H10="Umowa zlecenie"),$K10="Tak"),0,IF(AND($H10="Umowa zlecenie",$L10="Tak"),0,IF($H10="B2B",IF($O10="Liniowy",MAX(0,(Z10-MIN(X10,'Założenia 2026'!$B$8))*'Założenia 2026'!$B$7),IF($O10="Ryczałt",Z10*$P10,MAX(0,Z10*'Założenia 2026'!$B$4-'Założenia 2026'!$B$6/12))),MAX(0,Z10*'Założenia 2026'!$B$4-IF($I10="Tak",300,0))))),0)))</f>
        <v>680</v>
      </c>
      <c r="AB10" s="35">
        <f t="shared" si="3"/>
        <v>2899.17</v>
      </c>
      <c r="AC10" s="35">
        <f>IF($G10="","",ROUND(IF($H10="B2B",R10,IF(OR($H10="Umowa o pracę",AND($H10="Umowa zlecenie",$L10&lt;&gt;"Tak")),R10+R10*('Założenia 2026'!$B$13+'Założenia 2026'!$B$14+'Założenia 2026'!$B$15+'Założenia 2026'!$B$16+'Założenia 2026'!$B$17),R10)),2))</f>
        <v>5800</v>
      </c>
      <c r="AD10" s="34">
        <f t="shared" si="4"/>
        <v>0.50014310344827584</v>
      </c>
    </row>
    <row r="11" spans="1:30" x14ac:dyDescent="0.35">
      <c r="A11" s="28">
        <v>9</v>
      </c>
      <c r="B11" s="29"/>
      <c r="C11" s="29"/>
      <c r="D11" s="29"/>
      <c r="E11" s="30"/>
      <c r="F11" s="28" t="s">
        <v>247</v>
      </c>
      <c r="G11" s="31">
        <v>9800</v>
      </c>
      <c r="H11" s="28" t="s">
        <v>248</v>
      </c>
      <c r="I11" s="28" t="s">
        <v>95</v>
      </c>
      <c r="J11" s="32">
        <v>250</v>
      </c>
      <c r="K11" s="28" t="s">
        <v>214</v>
      </c>
      <c r="L11" s="28" t="s">
        <v>214</v>
      </c>
      <c r="M11" s="28" t="s">
        <v>214</v>
      </c>
      <c r="N11" s="28" t="s">
        <v>214</v>
      </c>
      <c r="O11" s="28"/>
      <c r="P11" s="33"/>
      <c r="Q11" s="28"/>
      <c r="R11" s="35">
        <f t="shared" si="0"/>
        <v>9800</v>
      </c>
      <c r="S11" s="35">
        <f>IF($G11="","",ROUND(IF($H11="B2B",IF($Q11="Duży",5652*19.52%,0),IF(OR($H11="Umowa o pracę",AND($H11="Umowa zlecenie",$L11&lt;&gt;"Tak")),R11*'Założenia 2026'!$B$9,0)),2))</f>
        <v>956.48</v>
      </c>
      <c r="T11" s="35">
        <f>IF($G11="","",ROUND(IF($H11="B2B",IF($Q11="Duży",5652*8%,0),IF(OR($H11="Umowa o pracę",AND($H11="Umowa zlecenie",$L11&lt;&gt;"Tak")),R11*'Założenia 2026'!$B$10,0)),2))</f>
        <v>147</v>
      </c>
      <c r="U11" s="35">
        <f>IF($G11="","",ROUND(IF($H11="B2B",IF(AND($Q11="Duży",$M11="Tak"),5652*2.45%,0),IF(OR($H11="Umowa o pracę",AND($H11="Umowa zlecenie",$L11&lt;&gt;"Tak",$M11="Tak")),R11*'Założenia 2026'!$B$11,0)),2))</f>
        <v>240.1</v>
      </c>
      <c r="V11" s="35">
        <f>IF($G11="","",ROUND(IF($H11="B2B",IF($Q11="Duży",IF($M11="Tak",'Założenia 2026'!$B$24,'Założenia 2026'!$B$23),0),S11+T11+U11),2))</f>
        <v>1343.58</v>
      </c>
      <c r="W11" s="35">
        <f t="shared" si="1"/>
        <v>8456.42</v>
      </c>
      <c r="X11" s="35">
        <f>IF($G11="","",ROUND(IF($H11="B2B",IF($O11="Ryczałt",'Założenia 2026'!$B$27,MAX('Założenia 2026'!$B$22,IF($O11="Liniowy",W11*4.9%,W11*9%))),IF(OR($H11="Umowa o pracę",AND($H11="Umowa zlecenie",$L11&lt;&gt;"Tak")),W11*'Założenia 2026'!$B$12,0)),2))</f>
        <v>761.08</v>
      </c>
      <c r="Y11" s="35">
        <f>IF($G11="","",ROUND(IF($H11="Umowa o pracę",$J11,IF($H11="Umowa zlecenie",(R11-V11)*'Założenia 2026'!$B$32,IF($H11="Umowa o dzieło",R11*IF($N11="Tak",'Założenia 2026'!$B$33,'Założenia 2026'!$B$32),0))),2))</f>
        <v>250</v>
      </c>
      <c r="Z11" s="35">
        <f t="shared" si="2"/>
        <v>8206</v>
      </c>
      <c r="AA11" s="35">
        <f>IF($G11="","",MAX(0,ROUND(IF(AND(OR($H11="Umowa o pracę",$H11="Umowa zlecenie"),$K11="Tak"),0,IF(AND($H11="Umowa zlecenie",$L11="Tak"),0,IF($H11="B2B",IF($O11="Liniowy",MAX(0,(Z11-MIN(X11,'Założenia 2026'!$B$8))*'Założenia 2026'!$B$7),IF($O11="Ryczałt",Z11*$P11,MAX(0,Z11*'Założenia 2026'!$B$4-'Założenia 2026'!$B$6/12))),MAX(0,Z11*'Założenia 2026'!$B$4-IF($I11="Tak",300,0))))),0)))</f>
        <v>685</v>
      </c>
      <c r="AB11" s="35">
        <f t="shared" si="3"/>
        <v>7010.34</v>
      </c>
      <c r="AC11" s="35">
        <f>IF($G11="","",ROUND(IF($H11="B2B",R11,IF(OR($H11="Umowa o pracę",AND($H11="Umowa zlecenie",$L11&lt;&gt;"Tak")),R11+R11*('Założenia 2026'!$B$13+'Założenia 2026'!$B$14+'Założenia 2026'!$B$15+'Założenia 2026'!$B$16+'Założenia 2026'!$B$17),R11)),2))</f>
        <v>11807.04</v>
      </c>
      <c r="AD11" s="34">
        <f t="shared" si="4"/>
        <v>0.40625762257094078</v>
      </c>
    </row>
    <row r="12" spans="1:30" x14ac:dyDescent="0.35">
      <c r="A12" s="28">
        <v>10</v>
      </c>
      <c r="B12" s="29"/>
      <c r="C12" s="29"/>
      <c r="D12" s="29"/>
      <c r="E12" s="30"/>
      <c r="F12" s="28" t="s">
        <v>247</v>
      </c>
      <c r="G12" s="31">
        <v>7700</v>
      </c>
      <c r="H12" s="28" t="s">
        <v>211</v>
      </c>
      <c r="I12" s="28" t="s">
        <v>95</v>
      </c>
      <c r="J12" s="32">
        <v>0</v>
      </c>
      <c r="K12" s="28" t="s">
        <v>95</v>
      </c>
      <c r="L12" s="28" t="s">
        <v>214</v>
      </c>
      <c r="M12" s="28" t="s">
        <v>95</v>
      </c>
      <c r="N12" s="28" t="s">
        <v>214</v>
      </c>
      <c r="O12" s="28"/>
      <c r="P12" s="33"/>
      <c r="Q12" s="28"/>
      <c r="R12" s="35">
        <f t="shared" si="0"/>
        <v>7700</v>
      </c>
      <c r="S12" s="35">
        <f>IF($G12="","",ROUND(IF($H12="B2B",IF($Q12="Duży",5652*19.52%,0),IF(OR($H12="Umowa o pracę",AND($H12="Umowa zlecenie",$L12&lt;&gt;"Tak")),R12*'Założenia 2026'!$B$9,0)),2))</f>
        <v>751.52</v>
      </c>
      <c r="T12" s="35">
        <f>IF($G12="","",ROUND(IF($H12="B2B",IF($Q12="Duży",5652*8%,0),IF(OR($H12="Umowa o pracę",AND($H12="Umowa zlecenie",$L12&lt;&gt;"Tak")),R12*'Założenia 2026'!$B$10,0)),2))</f>
        <v>115.5</v>
      </c>
      <c r="U12" s="35">
        <f>IF($G12="","",ROUND(IF($H12="B2B",IF(AND($Q12="Duży",$M12="Tak"),5652*2.45%,0),IF(OR($H12="Umowa o pracę",AND($H12="Umowa zlecenie",$L12&lt;&gt;"Tak",$M12="Tak")),R12*'Założenia 2026'!$B$11,0)),2))</f>
        <v>188.65</v>
      </c>
      <c r="V12" s="35">
        <f>IF($G12="","",ROUND(IF($H12="B2B",IF($Q12="Duży",IF($M12="Tak",'Założenia 2026'!$B$24,'Założenia 2026'!$B$23),0),S12+T12+U12),2))</f>
        <v>1055.67</v>
      </c>
      <c r="W12" s="35">
        <f t="shared" si="1"/>
        <v>6644.33</v>
      </c>
      <c r="X12" s="35">
        <f>IF($G12="","",ROUND(IF($H12="B2B",IF($O12="Ryczałt",'Założenia 2026'!$B$27,MAX('Założenia 2026'!$B$22,IF($O12="Liniowy",W12*4.9%,W12*9%))),IF(OR($H12="Umowa o pracę",AND($H12="Umowa zlecenie",$L12&lt;&gt;"Tak")),W12*'Założenia 2026'!$B$12,0)),2))</f>
        <v>597.99</v>
      </c>
      <c r="Y12" s="35">
        <f>IF($G12="","",ROUND(IF($H12="Umowa o pracę",$J12,IF($H12="Umowa zlecenie",(R12-V12)*'Założenia 2026'!$B$32,IF($H12="Umowa o dzieło",R12*IF($N12="Tak",'Założenia 2026'!$B$33,'Założenia 2026'!$B$32),0))),2))</f>
        <v>1328.87</v>
      </c>
      <c r="Z12" s="35">
        <f t="shared" si="2"/>
        <v>5315</v>
      </c>
      <c r="AA12" s="35">
        <f>IF($G12="","",MAX(0,ROUND(IF(AND(OR($H12="Umowa o pracę",$H12="Umowa zlecenie"),$K12="Tak"),0,IF(AND($H12="Umowa zlecenie",$L12="Tak"),0,IF($H12="B2B",IF($O12="Liniowy",MAX(0,(Z12-MIN(X12,'Założenia 2026'!$B$8))*'Założenia 2026'!$B$7),IF($O12="Ryczałt",Z12*$P12,MAX(0,Z12*'Założenia 2026'!$B$4-'Założenia 2026'!$B$6/12))),MAX(0,Z12*'Założenia 2026'!$B$4-IF($I12="Tak",300,0))))),0)))</f>
        <v>0</v>
      </c>
      <c r="AB12" s="35">
        <f t="shared" si="3"/>
        <v>6046.34</v>
      </c>
      <c r="AC12" s="35">
        <f>IF($G12="","",ROUND(IF($H12="B2B",R12,IF(OR($H12="Umowa o pracę",AND($H12="Umowa zlecenie",$L12&lt;&gt;"Tak")),R12+R12*('Założenia 2026'!$B$13+'Założenia 2026'!$B$14+'Założenia 2026'!$B$15+'Założenia 2026'!$B$16+'Założenia 2026'!$B$17),R12)),2))</f>
        <v>9276.9599999999991</v>
      </c>
      <c r="AD12" s="34">
        <f t="shared" si="4"/>
        <v>0.34824123419740943</v>
      </c>
    </row>
    <row r="13" spans="1:30" x14ac:dyDescent="0.35">
      <c r="A13" s="28">
        <v>11</v>
      </c>
      <c r="B13" s="29"/>
      <c r="C13" s="29"/>
      <c r="D13" s="29"/>
      <c r="E13" s="30"/>
      <c r="F13" s="28" t="s">
        <v>247</v>
      </c>
      <c r="G13" s="31">
        <v>30200</v>
      </c>
      <c r="H13" s="28" t="s">
        <v>212</v>
      </c>
      <c r="I13" s="28" t="s">
        <v>214</v>
      </c>
      <c r="J13" s="32">
        <v>0</v>
      </c>
      <c r="K13" s="28" t="s">
        <v>214</v>
      </c>
      <c r="L13" s="28" t="s">
        <v>214</v>
      </c>
      <c r="M13" s="28" t="s">
        <v>214</v>
      </c>
      <c r="N13" s="28" t="s">
        <v>95</v>
      </c>
      <c r="O13" s="28"/>
      <c r="P13" s="33"/>
      <c r="Q13" s="28"/>
      <c r="R13" s="35">
        <f t="shared" si="0"/>
        <v>30200</v>
      </c>
      <c r="S13" s="35">
        <f>IF($G13="","",ROUND(IF($H13="B2B",IF($Q13="Duży",5652*19.52%,0),IF(OR($H13="Umowa o pracę",AND($H13="Umowa zlecenie",$L13&lt;&gt;"Tak")),R13*'Założenia 2026'!$B$9,0)),2))</f>
        <v>0</v>
      </c>
      <c r="T13" s="35">
        <f>IF($G13="","",ROUND(IF($H13="B2B",IF($Q13="Duży",5652*8%,0),IF(OR($H13="Umowa o pracę",AND($H13="Umowa zlecenie",$L13&lt;&gt;"Tak")),R13*'Założenia 2026'!$B$10,0)),2))</f>
        <v>0</v>
      </c>
      <c r="U13" s="35">
        <f>IF($G13="","",ROUND(IF($H13="B2B",IF(AND($Q13="Duży",$M13="Tak"),5652*2.45%,0),IF(OR($H13="Umowa o pracę",AND($H13="Umowa zlecenie",$L13&lt;&gt;"Tak",$M13="Tak")),R13*'Założenia 2026'!$B$11,0)),2))</f>
        <v>0</v>
      </c>
      <c r="V13" s="35">
        <f>IF($G13="","",ROUND(IF($H13="B2B",IF($Q13="Duży",IF($M13="Tak",'Założenia 2026'!$B$24,'Założenia 2026'!$B$23),0),S13+T13+U13),2))</f>
        <v>0</v>
      </c>
      <c r="W13" s="35">
        <f t="shared" si="1"/>
        <v>30200</v>
      </c>
      <c r="X13" s="35">
        <f>IF($G13="","",ROUND(IF($H13="B2B",IF($O13="Ryczałt",'Założenia 2026'!$B$27,MAX('Założenia 2026'!$B$22,IF($O13="Liniowy",W13*4.9%,W13*9%))),IF(OR($H13="Umowa o pracę",AND($H13="Umowa zlecenie",$L13&lt;&gt;"Tak")),W13*'Założenia 2026'!$B$12,0)),2))</f>
        <v>0</v>
      </c>
      <c r="Y13" s="35">
        <f>IF($G13="","",ROUND(IF($H13="Umowa o pracę",$J13,IF($H13="Umowa zlecenie",(R13-V13)*'Założenia 2026'!$B$32,IF($H13="Umowa o dzieło",R13*IF($N13="Tak",'Założenia 2026'!$B$33,'Założenia 2026'!$B$32),0))),2))</f>
        <v>15100</v>
      </c>
      <c r="Z13" s="35">
        <f t="shared" si="2"/>
        <v>15100</v>
      </c>
      <c r="AA13" s="35">
        <f>IF($G13="","",MAX(0,ROUND(IF(AND(OR($H13="Umowa o pracę",$H13="Umowa zlecenie"),$K13="Tak"),0,IF(AND($H13="Umowa zlecenie",$L13="Tak"),0,IF($H13="B2B",IF($O13="Liniowy",MAX(0,(Z13-MIN(X13,'Założenia 2026'!$B$8))*'Założenia 2026'!$B$7),IF($O13="Ryczałt",Z13*$P13,MAX(0,Z13*'Założenia 2026'!$B$4-'Założenia 2026'!$B$6/12))),MAX(0,Z13*'Założenia 2026'!$B$4-IF($I13="Tak",300,0))))),0)))</f>
        <v>1812</v>
      </c>
      <c r="AB13" s="35">
        <f t="shared" si="3"/>
        <v>28388</v>
      </c>
      <c r="AC13" s="35">
        <f>IF($G13="","",ROUND(IF($H13="B2B",R13,IF(OR($H13="Umowa o pracę",AND($H13="Umowa zlecenie",$L13&lt;&gt;"Tak")),R13+R13*('Założenia 2026'!$B$13+'Założenia 2026'!$B$14+'Założenia 2026'!$B$15+'Założenia 2026'!$B$16+'Założenia 2026'!$B$17),R13)),2))</f>
        <v>30200</v>
      </c>
      <c r="AD13" s="34">
        <f t="shared" si="4"/>
        <v>0.06</v>
      </c>
    </row>
    <row r="14" spans="1:30" x14ac:dyDescent="0.35">
      <c r="A14" s="28">
        <v>12</v>
      </c>
      <c r="B14" s="29"/>
      <c r="C14" s="29"/>
      <c r="D14" s="29"/>
      <c r="E14" s="30"/>
      <c r="F14" s="28" t="s">
        <v>247</v>
      </c>
      <c r="G14" s="31">
        <v>17100</v>
      </c>
      <c r="H14" s="28" t="s">
        <v>249</v>
      </c>
      <c r="I14" s="28" t="s">
        <v>214</v>
      </c>
      <c r="J14" s="32">
        <v>0</v>
      </c>
      <c r="K14" s="28" t="s">
        <v>214</v>
      </c>
      <c r="L14" s="28" t="s">
        <v>214</v>
      </c>
      <c r="M14" s="28" t="s">
        <v>214</v>
      </c>
      <c r="N14" s="28" t="s">
        <v>214</v>
      </c>
      <c r="O14" s="28" t="s">
        <v>252</v>
      </c>
      <c r="P14" s="33"/>
      <c r="Q14" s="28" t="s">
        <v>250</v>
      </c>
      <c r="R14" s="35">
        <f t="shared" si="0"/>
        <v>17100</v>
      </c>
      <c r="S14" s="35">
        <f>IF($G14="","",ROUND(IF($H14="B2B",IF($Q14="Duży",5652*19.52%,0),IF(OR($H14="Umowa o pracę",AND($H14="Umowa zlecenie",$L14&lt;&gt;"Tak")),R14*'Założenia 2026'!$B$9,0)),2))</f>
        <v>1103.27</v>
      </c>
      <c r="T14" s="35">
        <f>IF($G14="","",ROUND(IF($H14="B2B",IF($Q14="Duży",5652*8%,0),IF(OR($H14="Umowa o pracę",AND($H14="Umowa zlecenie",$L14&lt;&gt;"Tak")),R14*'Założenia 2026'!$B$10,0)),2))</f>
        <v>452.16</v>
      </c>
      <c r="U14" s="35">
        <f>IF($G14="","",ROUND(IF($H14="B2B",IF(AND($Q14="Duży",$M14="Tak"),5652*2.45%,0),IF(OR($H14="Umowa o pracę",AND($H14="Umowa zlecenie",$L14&lt;&gt;"Tak",$M14="Tak")),R14*'Założenia 2026'!$B$11,0)),2))</f>
        <v>0</v>
      </c>
      <c r="V14" s="35">
        <f>IF($G14="","",ROUND(IF($H14="B2B",IF($Q14="Duży",IF($M14="Tak",'Założenia 2026'!$B$24,'Założenia 2026'!$B$23),0),S14+T14+U14),2))</f>
        <v>1788.29</v>
      </c>
      <c r="W14" s="35">
        <f t="shared" si="1"/>
        <v>15311.71</v>
      </c>
      <c r="X14" s="35">
        <f>IF($G14="","",ROUND(IF($H14="B2B",IF($O14="Ryczałt",'Założenia 2026'!$B$27,MAX('Założenia 2026'!$B$22,IF($O14="Liniowy",W14*4.9%,W14*9%))),IF(OR($H14="Umowa o pracę",AND($H14="Umowa zlecenie",$L14&lt;&gt;"Tak")),W14*'Założenia 2026'!$B$12,0)),2))</f>
        <v>1378.05</v>
      </c>
      <c r="Y14" s="35">
        <f>IF($G14="","",ROUND(IF($H14="Umowa o pracę",$J14,IF($H14="Umowa zlecenie",(R14-V14)*'Założenia 2026'!$B$32,IF($H14="Umowa o dzieło",R14*IF($N14="Tak",'Założenia 2026'!$B$33,'Założenia 2026'!$B$32),0))),2))</f>
        <v>0</v>
      </c>
      <c r="Z14" s="35">
        <f t="shared" si="2"/>
        <v>15312</v>
      </c>
      <c r="AA14" s="35">
        <f>IF($G14="","",MAX(0,ROUND(IF(AND(OR($H14="Umowa o pracę",$H14="Umowa zlecenie"),$K14="Tak"),0,IF(AND($H14="Umowa zlecenie",$L14="Tak"),0,IF($H14="B2B",IF($O14="Liniowy",MAX(0,(Z14-MIN(X14,'Założenia 2026'!$B$8))*'Założenia 2026'!$B$7),IF($O14="Ryczałt",Z14*$P14,MAX(0,Z14*'Założenia 2026'!$B$4-'Założenia 2026'!$B$6/12))),MAX(0,Z14*'Założenia 2026'!$B$4-IF($I14="Tak",300,0))))),0)))</f>
        <v>1537</v>
      </c>
      <c r="AB14" s="35">
        <f t="shared" si="3"/>
        <v>12396.66</v>
      </c>
      <c r="AC14" s="35">
        <f>IF($G14="","",ROUND(IF($H14="B2B",R14,IF(OR($H14="Umowa o pracę",AND($H14="Umowa zlecenie",$L14&lt;&gt;"Tak")),R14+R14*('Założenia 2026'!$B$13+'Założenia 2026'!$B$14+'Założenia 2026'!$B$15+'Założenia 2026'!$B$16+'Założenia 2026'!$B$17),R14)),2))</f>
        <v>17100</v>
      </c>
      <c r="AD14" s="34">
        <f t="shared" si="4"/>
        <v>0.27504912280701754</v>
      </c>
    </row>
    <row r="15" spans="1:30" x14ac:dyDescent="0.35">
      <c r="A15" s="28">
        <v>13</v>
      </c>
      <c r="B15" s="29"/>
      <c r="C15" s="29"/>
      <c r="D15" s="29"/>
      <c r="E15" s="30"/>
      <c r="F15" s="28" t="s">
        <v>247</v>
      </c>
      <c r="G15" s="31">
        <v>8600</v>
      </c>
      <c r="H15" s="28" t="s">
        <v>248</v>
      </c>
      <c r="I15" s="28" t="s">
        <v>95</v>
      </c>
      <c r="J15" s="32">
        <v>250</v>
      </c>
      <c r="K15" s="28" t="s">
        <v>214</v>
      </c>
      <c r="L15" s="28" t="s">
        <v>214</v>
      </c>
      <c r="M15" s="28" t="s">
        <v>214</v>
      </c>
      <c r="N15" s="28" t="s">
        <v>214</v>
      </c>
      <c r="O15" s="28"/>
      <c r="P15" s="33"/>
      <c r="Q15" s="28"/>
      <c r="R15" s="35">
        <f t="shared" si="0"/>
        <v>8600</v>
      </c>
      <c r="S15" s="35">
        <f>IF($G15="","",ROUND(IF($H15="B2B",IF($Q15="Duży",5652*19.52%,0),IF(OR($H15="Umowa o pracę",AND($H15="Umowa zlecenie",$L15&lt;&gt;"Tak")),R15*'Założenia 2026'!$B$9,0)),2))</f>
        <v>839.36</v>
      </c>
      <c r="T15" s="35">
        <f>IF($G15="","",ROUND(IF($H15="B2B",IF($Q15="Duży",5652*8%,0),IF(OR($H15="Umowa o pracę",AND($H15="Umowa zlecenie",$L15&lt;&gt;"Tak")),R15*'Założenia 2026'!$B$10,0)),2))</f>
        <v>129</v>
      </c>
      <c r="U15" s="35">
        <f>IF($G15="","",ROUND(IF($H15="B2B",IF(AND($Q15="Duży",$M15="Tak"),5652*2.45%,0),IF(OR($H15="Umowa o pracę",AND($H15="Umowa zlecenie",$L15&lt;&gt;"Tak",$M15="Tak")),R15*'Założenia 2026'!$B$11,0)),2))</f>
        <v>210.7</v>
      </c>
      <c r="V15" s="35">
        <f>IF($G15="","",ROUND(IF($H15="B2B",IF($Q15="Duży",IF($M15="Tak",'Założenia 2026'!$B$24,'Założenia 2026'!$B$23),0),S15+T15+U15),2))</f>
        <v>1179.06</v>
      </c>
      <c r="W15" s="35">
        <f t="shared" si="1"/>
        <v>7420.94</v>
      </c>
      <c r="X15" s="35">
        <f>IF($G15="","",ROUND(IF($H15="B2B",IF($O15="Ryczałt",'Założenia 2026'!$B$27,MAX('Założenia 2026'!$B$22,IF($O15="Liniowy",W15*4.9%,W15*9%))),IF(OR($H15="Umowa o pracę",AND($H15="Umowa zlecenie",$L15&lt;&gt;"Tak")),W15*'Założenia 2026'!$B$12,0)),2))</f>
        <v>667.88</v>
      </c>
      <c r="Y15" s="35">
        <f>IF($G15="","",ROUND(IF($H15="Umowa o pracę",$J15,IF($H15="Umowa zlecenie",(R15-V15)*'Założenia 2026'!$B$32,IF($H15="Umowa o dzieło",R15*IF($N15="Tak",'Założenia 2026'!$B$33,'Założenia 2026'!$B$32),0))),2))</f>
        <v>250</v>
      </c>
      <c r="Z15" s="35">
        <f t="shared" si="2"/>
        <v>7171</v>
      </c>
      <c r="AA15" s="35">
        <f>IF($G15="","",MAX(0,ROUND(IF(AND(OR($H15="Umowa o pracę",$H15="Umowa zlecenie"),$K15="Tak"),0,IF(AND($H15="Umowa zlecenie",$L15="Tak"),0,IF($H15="B2B",IF($O15="Liniowy",MAX(0,(Z15-MIN(X15,'Założenia 2026'!$B$8))*'Założenia 2026'!$B$7),IF($O15="Ryczałt",Z15*$P15,MAX(0,Z15*'Założenia 2026'!$B$4-'Założenia 2026'!$B$6/12))),MAX(0,Z15*'Założenia 2026'!$B$4-IF($I15="Tak",300,0))))),0)))</f>
        <v>561</v>
      </c>
      <c r="AB15" s="35">
        <f t="shared" si="3"/>
        <v>6192.06</v>
      </c>
      <c r="AC15" s="35">
        <f>IF($G15="","",ROUND(IF($H15="B2B",R15,IF(OR($H15="Umowa o pracę",AND($H15="Umowa zlecenie",$L15&lt;&gt;"Tak")),R15+R15*('Założenia 2026'!$B$13+'Założenia 2026'!$B$14+'Założenia 2026'!$B$15+'Założenia 2026'!$B$16+'Założenia 2026'!$B$17),R15)),2))</f>
        <v>10361.280000000001</v>
      </c>
      <c r="AD15" s="34">
        <f t="shared" si="4"/>
        <v>0.4023846474566849</v>
      </c>
    </row>
    <row r="16" spans="1:30" x14ac:dyDescent="0.35">
      <c r="A16" s="28">
        <v>14</v>
      </c>
      <c r="B16" s="29"/>
      <c r="C16" s="29"/>
      <c r="D16" s="29"/>
      <c r="E16" s="30"/>
      <c r="F16" s="28" t="s">
        <v>247</v>
      </c>
      <c r="G16" s="31">
        <v>7100</v>
      </c>
      <c r="H16" s="28" t="s">
        <v>211</v>
      </c>
      <c r="I16" s="28" t="s">
        <v>95</v>
      </c>
      <c r="J16" s="32">
        <v>0</v>
      </c>
      <c r="K16" s="28" t="s">
        <v>214</v>
      </c>
      <c r="L16" s="28" t="s">
        <v>214</v>
      </c>
      <c r="M16" s="28" t="s">
        <v>214</v>
      </c>
      <c r="N16" s="28" t="s">
        <v>214</v>
      </c>
      <c r="O16" s="28"/>
      <c r="P16" s="33"/>
      <c r="Q16" s="28"/>
      <c r="R16" s="35">
        <f t="shared" si="0"/>
        <v>7100</v>
      </c>
      <c r="S16" s="35">
        <f>IF($G16="","",ROUND(IF($H16="B2B",IF($Q16="Duży",5652*19.52%,0),IF(OR($H16="Umowa o pracę",AND($H16="Umowa zlecenie",$L16&lt;&gt;"Tak")),R16*'Założenia 2026'!$B$9,0)),2))</f>
        <v>692.96</v>
      </c>
      <c r="T16" s="35">
        <f>IF($G16="","",ROUND(IF($H16="B2B",IF($Q16="Duży",5652*8%,0),IF(OR($H16="Umowa o pracę",AND($H16="Umowa zlecenie",$L16&lt;&gt;"Tak")),R16*'Założenia 2026'!$B$10,0)),2))</f>
        <v>106.5</v>
      </c>
      <c r="U16" s="35">
        <f>IF($G16="","",ROUND(IF($H16="B2B",IF(AND($Q16="Duży",$M16="Tak"),5652*2.45%,0),IF(OR($H16="Umowa o pracę",AND($H16="Umowa zlecenie",$L16&lt;&gt;"Tak",$M16="Tak")),R16*'Założenia 2026'!$B$11,0)),2))</f>
        <v>0</v>
      </c>
      <c r="V16" s="35">
        <f>IF($G16="","",ROUND(IF($H16="B2B",IF($Q16="Duży",IF($M16="Tak",'Założenia 2026'!$B$24,'Założenia 2026'!$B$23),0),S16+T16+U16),2))</f>
        <v>799.46</v>
      </c>
      <c r="W16" s="35">
        <f t="shared" si="1"/>
        <v>6300.54</v>
      </c>
      <c r="X16" s="35">
        <f>IF($G16="","",ROUND(IF($H16="B2B",IF($O16="Ryczałt",'Założenia 2026'!$B$27,MAX('Założenia 2026'!$B$22,IF($O16="Liniowy",W16*4.9%,W16*9%))),IF(OR($H16="Umowa o pracę",AND($H16="Umowa zlecenie",$L16&lt;&gt;"Tak")),W16*'Założenia 2026'!$B$12,0)),2))</f>
        <v>567.04999999999995</v>
      </c>
      <c r="Y16" s="35">
        <f>IF($G16="","",ROUND(IF($H16="Umowa o pracę",$J16,IF($H16="Umowa zlecenie",(R16-V16)*'Założenia 2026'!$B$32,IF($H16="Umowa o dzieło",R16*IF($N16="Tak",'Założenia 2026'!$B$33,'Założenia 2026'!$B$32),0))),2))</f>
        <v>1260.1099999999999</v>
      </c>
      <c r="Z16" s="35">
        <f t="shared" si="2"/>
        <v>5040</v>
      </c>
      <c r="AA16" s="35">
        <f>IF($G16="","",MAX(0,ROUND(IF(AND(OR($H16="Umowa o pracę",$H16="Umowa zlecenie"),$K16="Tak"),0,IF(AND($H16="Umowa zlecenie",$L16="Tak"),0,IF($H16="B2B",IF($O16="Liniowy",MAX(0,(Z16-MIN(X16,'Założenia 2026'!$B$8))*'Założenia 2026'!$B$7),IF($O16="Ryczałt",Z16*$P16,MAX(0,Z16*'Założenia 2026'!$B$4-'Założenia 2026'!$B$6/12))),MAX(0,Z16*'Założenia 2026'!$B$4-IF($I16="Tak",300,0))))),0)))</f>
        <v>305</v>
      </c>
      <c r="AB16" s="35">
        <f t="shared" si="3"/>
        <v>5428.49</v>
      </c>
      <c r="AC16" s="35">
        <f>IF($G16="","",ROUND(IF($H16="B2B",R16,IF(OR($H16="Umowa o pracę",AND($H16="Umowa zlecenie",$L16&lt;&gt;"Tak")),R16+R16*('Założenia 2026'!$B$13+'Założenia 2026'!$B$14+'Założenia 2026'!$B$15+'Założenia 2026'!$B$16+'Założenia 2026'!$B$17),R16)),2))</f>
        <v>8554.08</v>
      </c>
      <c r="AD16" s="34">
        <f t="shared" si="4"/>
        <v>0.36539171950694876</v>
      </c>
    </row>
    <row r="17" spans="1:30" x14ac:dyDescent="0.35">
      <c r="A17" s="28">
        <v>15</v>
      </c>
      <c r="B17" s="29"/>
      <c r="C17" s="29"/>
      <c r="D17" s="29"/>
      <c r="E17" s="30"/>
      <c r="F17" s="28" t="s">
        <v>247</v>
      </c>
      <c r="G17" s="31">
        <v>11700</v>
      </c>
      <c r="H17" s="28" t="s">
        <v>212</v>
      </c>
      <c r="I17" s="28" t="s">
        <v>214</v>
      </c>
      <c r="J17" s="32">
        <v>0</v>
      </c>
      <c r="K17" s="28" t="s">
        <v>214</v>
      </c>
      <c r="L17" s="28" t="s">
        <v>214</v>
      </c>
      <c r="M17" s="28" t="s">
        <v>214</v>
      </c>
      <c r="N17" s="28" t="s">
        <v>95</v>
      </c>
      <c r="O17" s="28"/>
      <c r="P17" s="33"/>
      <c r="Q17" s="28"/>
      <c r="R17" s="35">
        <f t="shared" si="0"/>
        <v>11700</v>
      </c>
      <c r="S17" s="35">
        <f>IF($G17="","",ROUND(IF($H17="B2B",IF($Q17="Duży",5652*19.52%,0),IF(OR($H17="Umowa o pracę",AND($H17="Umowa zlecenie",$L17&lt;&gt;"Tak")),R17*'Założenia 2026'!$B$9,0)),2))</f>
        <v>0</v>
      </c>
      <c r="T17" s="35">
        <f>IF($G17="","",ROUND(IF($H17="B2B",IF($Q17="Duży",5652*8%,0),IF(OR($H17="Umowa o pracę",AND($H17="Umowa zlecenie",$L17&lt;&gt;"Tak")),R17*'Założenia 2026'!$B$10,0)),2))</f>
        <v>0</v>
      </c>
      <c r="U17" s="35">
        <f>IF($G17="","",ROUND(IF($H17="B2B",IF(AND($Q17="Duży",$M17="Tak"),5652*2.45%,0),IF(OR($H17="Umowa o pracę",AND($H17="Umowa zlecenie",$L17&lt;&gt;"Tak",$M17="Tak")),R17*'Założenia 2026'!$B$11,0)),2))</f>
        <v>0</v>
      </c>
      <c r="V17" s="35">
        <f>IF($G17="","",ROUND(IF($H17="B2B",IF($Q17="Duży",IF($M17="Tak",'Założenia 2026'!$B$24,'Założenia 2026'!$B$23),0),S17+T17+U17),2))</f>
        <v>0</v>
      </c>
      <c r="W17" s="35">
        <f t="shared" si="1"/>
        <v>11700</v>
      </c>
      <c r="X17" s="35">
        <f>IF($G17="","",ROUND(IF($H17="B2B",IF($O17="Ryczałt",'Założenia 2026'!$B$27,MAX('Założenia 2026'!$B$22,IF($O17="Liniowy",W17*4.9%,W17*9%))),IF(OR($H17="Umowa o pracę",AND($H17="Umowa zlecenie",$L17&lt;&gt;"Tak")),W17*'Założenia 2026'!$B$12,0)),2))</f>
        <v>0</v>
      </c>
      <c r="Y17" s="35">
        <f>IF($G17="","",ROUND(IF($H17="Umowa o pracę",$J17,IF($H17="Umowa zlecenie",(R17-V17)*'Założenia 2026'!$B$32,IF($H17="Umowa o dzieło",R17*IF($N17="Tak",'Założenia 2026'!$B$33,'Założenia 2026'!$B$32),0))),2))</f>
        <v>5850</v>
      </c>
      <c r="Z17" s="35">
        <f t="shared" si="2"/>
        <v>5850</v>
      </c>
      <c r="AA17" s="35">
        <f>IF($G17="","",MAX(0,ROUND(IF(AND(OR($H17="Umowa o pracę",$H17="Umowa zlecenie"),$K17="Tak"),0,IF(AND($H17="Umowa zlecenie",$L17="Tak"),0,IF($H17="B2B",IF($O17="Liniowy",MAX(0,(Z17-MIN(X17,'Założenia 2026'!$B$8))*'Założenia 2026'!$B$7),IF($O17="Ryczałt",Z17*$P17,MAX(0,Z17*'Założenia 2026'!$B$4-'Założenia 2026'!$B$6/12))),MAX(0,Z17*'Założenia 2026'!$B$4-IF($I17="Tak",300,0))))),0)))</f>
        <v>702</v>
      </c>
      <c r="AB17" s="35">
        <f t="shared" si="3"/>
        <v>10998</v>
      </c>
      <c r="AC17" s="35">
        <f>IF($G17="","",ROUND(IF($H17="B2B",R17,IF(OR($H17="Umowa o pracę",AND($H17="Umowa zlecenie",$L17&lt;&gt;"Tak")),R17+R17*('Założenia 2026'!$B$13+'Założenia 2026'!$B$14+'Założenia 2026'!$B$15+'Założenia 2026'!$B$16+'Założenia 2026'!$B$17),R17)),2))</f>
        <v>11700</v>
      </c>
      <c r="AD17" s="34">
        <f t="shared" si="4"/>
        <v>0.06</v>
      </c>
    </row>
    <row r="18" spans="1:30" x14ac:dyDescent="0.35">
      <c r="A18" s="28">
        <v>16</v>
      </c>
      <c r="B18" s="29"/>
      <c r="C18" s="29"/>
      <c r="D18" s="29"/>
      <c r="E18" s="30"/>
      <c r="F18" s="28" t="s">
        <v>247</v>
      </c>
      <c r="G18" s="31">
        <v>7400</v>
      </c>
      <c r="H18" s="28" t="s">
        <v>249</v>
      </c>
      <c r="I18" s="28" t="s">
        <v>214</v>
      </c>
      <c r="J18" s="32">
        <v>0</v>
      </c>
      <c r="K18" s="28" t="s">
        <v>214</v>
      </c>
      <c r="L18" s="28" t="s">
        <v>214</v>
      </c>
      <c r="M18" s="28" t="s">
        <v>95</v>
      </c>
      <c r="N18" s="28" t="s">
        <v>214</v>
      </c>
      <c r="O18" s="28" t="s">
        <v>213</v>
      </c>
      <c r="P18" s="33">
        <v>8.5000000000000006E-2</v>
      </c>
      <c r="Q18" s="28" t="s">
        <v>250</v>
      </c>
      <c r="R18" s="35">
        <f t="shared" si="0"/>
        <v>7400</v>
      </c>
      <c r="S18" s="35">
        <f>IF($G18="","",ROUND(IF($H18="B2B",IF($Q18="Duży",5652*19.52%,0),IF(OR($H18="Umowa o pracę",AND($H18="Umowa zlecenie",$L18&lt;&gt;"Tak")),R18*'Założenia 2026'!$B$9,0)),2))</f>
        <v>1103.27</v>
      </c>
      <c r="T18" s="35">
        <f>IF($G18="","",ROUND(IF($H18="B2B",IF($Q18="Duży",5652*8%,0),IF(OR($H18="Umowa o pracę",AND($H18="Umowa zlecenie",$L18&lt;&gt;"Tak")),R18*'Założenia 2026'!$B$10,0)),2))</f>
        <v>452.16</v>
      </c>
      <c r="U18" s="35">
        <f>IF($G18="","",ROUND(IF($H18="B2B",IF(AND($Q18="Duży",$M18="Tak"),5652*2.45%,0),IF(OR($H18="Umowa o pracę",AND($H18="Umowa zlecenie",$L18&lt;&gt;"Tak",$M18="Tak")),R18*'Założenia 2026'!$B$11,0)),2))</f>
        <v>138.47</v>
      </c>
      <c r="V18" s="35">
        <f>IF($G18="","",ROUND(IF($H18="B2B",IF($Q18="Duży",IF($M18="Tak",'Założenia 2026'!$B$24,'Założenia 2026'!$B$23),0),S18+T18+U18),2))</f>
        <v>1926.76</v>
      </c>
      <c r="W18" s="35">
        <f t="shared" si="1"/>
        <v>5473.24</v>
      </c>
      <c r="X18" s="35">
        <f>IF($G18="","",ROUND(IF($H18="B2B",IF($O18="Ryczałt",'Założenia 2026'!$B$27,MAX('Założenia 2026'!$B$22,IF($O18="Liniowy",W18*4.9%,W18*9%))),IF(OR($H18="Umowa o pracę",AND($H18="Umowa zlecenie",$L18&lt;&gt;"Tak")),W18*'Założenia 2026'!$B$12,0)),2))</f>
        <v>498.35</v>
      </c>
      <c r="Y18" s="35">
        <f>IF($G18="","",ROUND(IF($H18="Umowa o pracę",$J18,IF($H18="Umowa zlecenie",(R18-V18)*'Założenia 2026'!$B$32,IF($H18="Umowa o dzieło",R18*IF($N18="Tak",'Założenia 2026'!$B$33,'Założenia 2026'!$B$32),0))),2))</f>
        <v>0</v>
      </c>
      <c r="Z18" s="35">
        <f t="shared" si="2"/>
        <v>5224</v>
      </c>
      <c r="AA18" s="35">
        <f>IF($G18="","",MAX(0,ROUND(IF(AND(OR($H18="Umowa o pracę",$H18="Umowa zlecenie"),$K18="Tak"),0,IF(AND($H18="Umowa zlecenie",$L18="Tak"),0,IF($H18="B2B",IF($O18="Liniowy",MAX(0,(Z18-MIN(X18,'Założenia 2026'!$B$8))*'Założenia 2026'!$B$7),IF($O18="Ryczałt",Z18*$P18,MAX(0,Z18*'Założenia 2026'!$B$4-'Założenia 2026'!$B$6/12))),MAX(0,Z18*'Założenia 2026'!$B$4-IF($I18="Tak",300,0))))),0)))</f>
        <v>444</v>
      </c>
      <c r="AB18" s="35">
        <f t="shared" si="3"/>
        <v>4530.8900000000003</v>
      </c>
      <c r="AC18" s="35">
        <f>IF($G18="","",ROUND(IF($H18="B2B",R18,IF(OR($H18="Umowa o pracę",AND($H18="Umowa zlecenie",$L18&lt;&gt;"Tak")),R18+R18*('Założenia 2026'!$B$13+'Założenia 2026'!$B$14+'Założenia 2026'!$B$15+'Założenia 2026'!$B$16+'Założenia 2026'!$B$17),R18)),2))</f>
        <v>7400</v>
      </c>
      <c r="AD18" s="34">
        <f t="shared" si="4"/>
        <v>0.38771756756756753</v>
      </c>
    </row>
    <row r="19" spans="1:30" x14ac:dyDescent="0.35">
      <c r="A19" s="28">
        <v>17</v>
      </c>
      <c r="B19" s="29"/>
      <c r="C19" s="29"/>
      <c r="D19" s="29"/>
      <c r="E19" s="30"/>
      <c r="F19" s="28" t="s">
        <v>247</v>
      </c>
      <c r="G19" s="31">
        <v>6300</v>
      </c>
      <c r="H19" s="28" t="s">
        <v>248</v>
      </c>
      <c r="I19" s="28" t="s">
        <v>95</v>
      </c>
      <c r="J19" s="32">
        <v>250</v>
      </c>
      <c r="K19" s="28" t="s">
        <v>214</v>
      </c>
      <c r="L19" s="28" t="s">
        <v>214</v>
      </c>
      <c r="M19" s="28" t="s">
        <v>214</v>
      </c>
      <c r="N19" s="28" t="s">
        <v>214</v>
      </c>
      <c r="O19" s="28"/>
      <c r="P19" s="33"/>
      <c r="Q19" s="28"/>
      <c r="R19" s="35">
        <f t="shared" si="0"/>
        <v>6300</v>
      </c>
      <c r="S19" s="35">
        <f>IF($G19="","",ROUND(IF($H19="B2B",IF($Q19="Duży",5652*19.52%,0),IF(OR($H19="Umowa o pracę",AND($H19="Umowa zlecenie",$L19&lt;&gt;"Tak")),R19*'Założenia 2026'!$B$9,0)),2))</f>
        <v>614.88</v>
      </c>
      <c r="T19" s="35">
        <f>IF($G19="","",ROUND(IF($H19="B2B",IF($Q19="Duży",5652*8%,0),IF(OR($H19="Umowa o pracę",AND($H19="Umowa zlecenie",$L19&lt;&gt;"Tak")),R19*'Założenia 2026'!$B$10,0)),2))</f>
        <v>94.5</v>
      </c>
      <c r="U19" s="35">
        <f>IF($G19="","",ROUND(IF($H19="B2B",IF(AND($Q19="Duży",$M19="Tak"),5652*2.45%,0),IF(OR($H19="Umowa o pracę",AND($H19="Umowa zlecenie",$L19&lt;&gt;"Tak",$M19="Tak")),R19*'Założenia 2026'!$B$11,0)),2))</f>
        <v>154.35</v>
      </c>
      <c r="V19" s="35">
        <f>IF($G19="","",ROUND(IF($H19="B2B",IF($Q19="Duży",IF($M19="Tak",'Założenia 2026'!$B$24,'Założenia 2026'!$B$23),0),S19+T19+U19),2))</f>
        <v>863.73</v>
      </c>
      <c r="W19" s="35">
        <f t="shared" si="1"/>
        <v>5436.27</v>
      </c>
      <c r="X19" s="35">
        <f>IF($G19="","",ROUND(IF($H19="B2B",IF($O19="Ryczałt",'Założenia 2026'!$B$27,MAX('Założenia 2026'!$B$22,IF($O19="Liniowy",W19*4.9%,W19*9%))),IF(OR($H19="Umowa o pracę",AND($H19="Umowa zlecenie",$L19&lt;&gt;"Tak")),W19*'Założenia 2026'!$B$12,0)),2))</f>
        <v>489.26</v>
      </c>
      <c r="Y19" s="35">
        <f>IF($G19="","",ROUND(IF($H19="Umowa o pracę",$J19,IF($H19="Umowa zlecenie",(R19-V19)*'Założenia 2026'!$B$32,IF($H19="Umowa o dzieło",R19*IF($N19="Tak",'Założenia 2026'!$B$33,'Założenia 2026'!$B$32),0))),2))</f>
        <v>250</v>
      </c>
      <c r="Z19" s="35">
        <f t="shared" si="2"/>
        <v>5186</v>
      </c>
      <c r="AA19" s="35">
        <f>IF($G19="","",MAX(0,ROUND(IF(AND(OR($H19="Umowa o pracę",$H19="Umowa zlecenie"),$K19="Tak"),0,IF(AND($H19="Umowa zlecenie",$L19="Tak"),0,IF($H19="B2B",IF($O19="Liniowy",MAX(0,(Z19-MIN(X19,'Założenia 2026'!$B$8))*'Założenia 2026'!$B$7),IF($O19="Ryczałt",Z19*$P19,MAX(0,Z19*'Założenia 2026'!$B$4-'Założenia 2026'!$B$6/12))),MAX(0,Z19*'Założenia 2026'!$B$4-IF($I19="Tak",300,0))))),0)))</f>
        <v>322</v>
      </c>
      <c r="AB19" s="35">
        <f t="shared" si="3"/>
        <v>4625.01</v>
      </c>
      <c r="AC19" s="35">
        <f>IF($G19="","",ROUND(IF($H19="B2B",R19,IF(OR($H19="Umowa o pracę",AND($H19="Umowa zlecenie",$L19&lt;&gt;"Tak")),R19+R19*('Założenia 2026'!$B$13+'Założenia 2026'!$B$14+'Założenia 2026'!$B$15+'Założenia 2026'!$B$16+'Założenia 2026'!$B$17),R19)),2))</f>
        <v>7590.24</v>
      </c>
      <c r="AD19" s="34">
        <f t="shared" si="4"/>
        <v>0.39066353633086698</v>
      </c>
    </row>
    <row r="20" spans="1:30" x14ac:dyDescent="0.35">
      <c r="A20" s="28">
        <v>18</v>
      </c>
      <c r="B20" s="29"/>
      <c r="C20" s="29"/>
      <c r="D20" s="29"/>
      <c r="E20" s="30"/>
      <c r="F20" s="28" t="s">
        <v>247</v>
      </c>
      <c r="G20" s="31">
        <v>8700</v>
      </c>
      <c r="H20" s="28" t="s">
        <v>211</v>
      </c>
      <c r="I20" s="28" t="s">
        <v>95</v>
      </c>
      <c r="J20" s="32">
        <v>0</v>
      </c>
      <c r="K20" s="28" t="s">
        <v>214</v>
      </c>
      <c r="L20" s="28" t="s">
        <v>214</v>
      </c>
      <c r="M20" s="28" t="s">
        <v>214</v>
      </c>
      <c r="N20" s="28" t="s">
        <v>214</v>
      </c>
      <c r="O20" s="28"/>
      <c r="P20" s="33"/>
      <c r="Q20" s="28"/>
      <c r="R20" s="35">
        <f t="shared" si="0"/>
        <v>8700</v>
      </c>
      <c r="S20" s="35">
        <f>IF($G20="","",ROUND(IF($H20="B2B",IF($Q20="Duży",5652*19.52%,0),IF(OR($H20="Umowa o pracę",AND($H20="Umowa zlecenie",$L20&lt;&gt;"Tak")),R20*'Założenia 2026'!$B$9,0)),2))</f>
        <v>849.12</v>
      </c>
      <c r="T20" s="35">
        <f>IF($G20="","",ROUND(IF($H20="B2B",IF($Q20="Duży",5652*8%,0),IF(OR($H20="Umowa o pracę",AND($H20="Umowa zlecenie",$L20&lt;&gt;"Tak")),R20*'Założenia 2026'!$B$10,0)),2))</f>
        <v>130.5</v>
      </c>
      <c r="U20" s="35">
        <f>IF($G20="","",ROUND(IF($H20="B2B",IF(AND($Q20="Duży",$M20="Tak"),5652*2.45%,0),IF(OR($H20="Umowa o pracę",AND($H20="Umowa zlecenie",$L20&lt;&gt;"Tak",$M20="Tak")),R20*'Założenia 2026'!$B$11,0)),2))</f>
        <v>0</v>
      </c>
      <c r="V20" s="35">
        <f>IF($G20="","",ROUND(IF($H20="B2B",IF($Q20="Duży",IF($M20="Tak",'Założenia 2026'!$B$24,'Założenia 2026'!$B$23),0),S20+T20+U20),2))</f>
        <v>979.62</v>
      </c>
      <c r="W20" s="35">
        <f t="shared" si="1"/>
        <v>7720.38</v>
      </c>
      <c r="X20" s="35">
        <f>IF($G20="","",ROUND(IF($H20="B2B",IF($O20="Ryczałt",'Założenia 2026'!$B$27,MAX('Założenia 2026'!$B$22,IF($O20="Liniowy",W20*4.9%,W20*9%))),IF(OR($H20="Umowa o pracę",AND($H20="Umowa zlecenie",$L20&lt;&gt;"Tak")),W20*'Założenia 2026'!$B$12,0)),2))</f>
        <v>694.83</v>
      </c>
      <c r="Y20" s="35">
        <f>IF($G20="","",ROUND(IF($H20="Umowa o pracę",$J20,IF($H20="Umowa zlecenie",(R20-V20)*'Założenia 2026'!$B$32,IF($H20="Umowa o dzieło",R20*IF($N20="Tak",'Założenia 2026'!$B$33,'Założenia 2026'!$B$32),0))),2))</f>
        <v>1544.08</v>
      </c>
      <c r="Z20" s="35">
        <f t="shared" si="2"/>
        <v>6176</v>
      </c>
      <c r="AA20" s="35">
        <f>IF($G20="","",MAX(0,ROUND(IF(AND(OR($H20="Umowa o pracę",$H20="Umowa zlecenie"),$K20="Tak"),0,IF(AND($H20="Umowa zlecenie",$L20="Tak"),0,IF($H20="B2B",IF($O20="Liniowy",MAX(0,(Z20-MIN(X20,'Założenia 2026'!$B$8))*'Założenia 2026'!$B$7),IF($O20="Ryczałt",Z20*$P20,MAX(0,Z20*'Założenia 2026'!$B$4-'Założenia 2026'!$B$6/12))),MAX(0,Z20*'Założenia 2026'!$B$4-IF($I20="Tak",300,0))))),0)))</f>
        <v>441</v>
      </c>
      <c r="AB20" s="35">
        <f t="shared" si="3"/>
        <v>6584.55</v>
      </c>
      <c r="AC20" s="35">
        <f>IF($G20="","",ROUND(IF($H20="B2B",R20,IF(OR($H20="Umowa o pracę",AND($H20="Umowa zlecenie",$L20&lt;&gt;"Tak")),R20+R20*('Założenia 2026'!$B$13+'Założenia 2026'!$B$14+'Założenia 2026'!$B$15+'Założenia 2026'!$B$16+'Założenia 2026'!$B$17),R20)),2))</f>
        <v>10481.76</v>
      </c>
      <c r="AD20" s="34">
        <f t="shared" si="4"/>
        <v>0.37180874204332098</v>
      </c>
    </row>
    <row r="21" spans="1:30" x14ac:dyDescent="0.35">
      <c r="A21" s="28">
        <v>19</v>
      </c>
      <c r="B21" s="29"/>
      <c r="C21" s="29"/>
      <c r="D21" s="29"/>
      <c r="E21" s="30"/>
      <c r="F21" s="28" t="s">
        <v>247</v>
      </c>
      <c r="G21" s="31">
        <v>6200</v>
      </c>
      <c r="H21" s="28" t="s">
        <v>212</v>
      </c>
      <c r="I21" s="28" t="s">
        <v>214</v>
      </c>
      <c r="J21" s="32">
        <v>0</v>
      </c>
      <c r="K21" s="28" t="s">
        <v>95</v>
      </c>
      <c r="L21" s="28" t="s">
        <v>214</v>
      </c>
      <c r="M21" s="28" t="s">
        <v>214</v>
      </c>
      <c r="N21" s="28" t="s">
        <v>95</v>
      </c>
      <c r="O21" s="28"/>
      <c r="P21" s="33"/>
      <c r="Q21" s="28"/>
      <c r="R21" s="35">
        <f t="shared" si="0"/>
        <v>6200</v>
      </c>
      <c r="S21" s="35">
        <f>IF($G21="","",ROUND(IF($H21="B2B",IF($Q21="Duży",5652*19.52%,0),IF(OR($H21="Umowa o pracę",AND($H21="Umowa zlecenie",$L21&lt;&gt;"Tak")),R21*'Założenia 2026'!$B$9,0)),2))</f>
        <v>0</v>
      </c>
      <c r="T21" s="35">
        <f>IF($G21="","",ROUND(IF($H21="B2B",IF($Q21="Duży",5652*8%,0),IF(OR($H21="Umowa o pracę",AND($H21="Umowa zlecenie",$L21&lt;&gt;"Tak")),R21*'Założenia 2026'!$B$10,0)),2))</f>
        <v>0</v>
      </c>
      <c r="U21" s="35">
        <f>IF($G21="","",ROUND(IF($H21="B2B",IF(AND($Q21="Duży",$M21="Tak"),5652*2.45%,0),IF(OR($H21="Umowa o pracę",AND($H21="Umowa zlecenie",$L21&lt;&gt;"Tak",$M21="Tak")),R21*'Założenia 2026'!$B$11,0)),2))</f>
        <v>0</v>
      </c>
      <c r="V21" s="35">
        <f>IF($G21="","",ROUND(IF($H21="B2B",IF($Q21="Duży",IF($M21="Tak",'Założenia 2026'!$B$24,'Założenia 2026'!$B$23),0),S21+T21+U21),2))</f>
        <v>0</v>
      </c>
      <c r="W21" s="35">
        <f t="shared" si="1"/>
        <v>6200</v>
      </c>
      <c r="X21" s="35">
        <f>IF($G21="","",ROUND(IF($H21="B2B",IF($O21="Ryczałt",'Założenia 2026'!$B$27,MAX('Założenia 2026'!$B$22,IF($O21="Liniowy",W21*4.9%,W21*9%))),IF(OR($H21="Umowa o pracę",AND($H21="Umowa zlecenie",$L21&lt;&gt;"Tak")),W21*'Założenia 2026'!$B$12,0)),2))</f>
        <v>0</v>
      </c>
      <c r="Y21" s="35">
        <f>IF($G21="","",ROUND(IF($H21="Umowa o pracę",$J21,IF($H21="Umowa zlecenie",(R21-V21)*'Założenia 2026'!$B$32,IF($H21="Umowa o dzieło",R21*IF($N21="Tak",'Założenia 2026'!$B$33,'Założenia 2026'!$B$32),0))),2))</f>
        <v>3100</v>
      </c>
      <c r="Z21" s="35">
        <f t="shared" si="2"/>
        <v>3100</v>
      </c>
      <c r="AA21" s="35">
        <f>IF($G21="","",MAX(0,ROUND(IF(AND(OR($H21="Umowa o pracę",$H21="Umowa zlecenie"),$K21="Tak"),0,IF(AND($H21="Umowa zlecenie",$L21="Tak"),0,IF($H21="B2B",IF($O21="Liniowy",MAX(0,(Z21-MIN(X21,'Założenia 2026'!$B$8))*'Założenia 2026'!$B$7),IF($O21="Ryczałt",Z21*$P21,MAX(0,Z21*'Założenia 2026'!$B$4-'Założenia 2026'!$B$6/12))),MAX(0,Z21*'Założenia 2026'!$B$4-IF($I21="Tak",300,0))))),0)))</f>
        <v>372</v>
      </c>
      <c r="AB21" s="35">
        <f t="shared" si="3"/>
        <v>5828</v>
      </c>
      <c r="AC21" s="35">
        <f>IF($G21="","",ROUND(IF($H21="B2B",R21,IF(OR($H21="Umowa o pracę",AND($H21="Umowa zlecenie",$L21&lt;&gt;"Tak")),R21+R21*('Założenia 2026'!$B$13+'Założenia 2026'!$B$14+'Założenia 2026'!$B$15+'Założenia 2026'!$B$16+'Założenia 2026'!$B$17),R21)),2))</f>
        <v>6200</v>
      </c>
      <c r="AD21" s="34">
        <f t="shared" si="4"/>
        <v>0.06</v>
      </c>
    </row>
    <row r="22" spans="1:30" x14ac:dyDescent="0.35">
      <c r="A22" s="28">
        <v>20</v>
      </c>
      <c r="B22" s="29"/>
      <c r="C22" s="29"/>
      <c r="D22" s="29"/>
      <c r="E22" s="30"/>
      <c r="F22" s="28" t="s">
        <v>247</v>
      </c>
      <c r="G22" s="31">
        <v>5000</v>
      </c>
      <c r="H22" s="28" t="s">
        <v>249</v>
      </c>
      <c r="I22" s="28" t="s">
        <v>214</v>
      </c>
      <c r="J22" s="32">
        <v>0</v>
      </c>
      <c r="K22" s="28" t="s">
        <v>214</v>
      </c>
      <c r="L22" s="28" t="s">
        <v>214</v>
      </c>
      <c r="M22" s="28" t="s">
        <v>214</v>
      </c>
      <c r="N22" s="28" t="s">
        <v>214</v>
      </c>
      <c r="O22" s="28" t="s">
        <v>251</v>
      </c>
      <c r="P22" s="33"/>
      <c r="Q22" s="28" t="s">
        <v>250</v>
      </c>
      <c r="R22" s="35">
        <f t="shared" si="0"/>
        <v>5000</v>
      </c>
      <c r="S22" s="35">
        <f>IF($G22="","",ROUND(IF($H22="B2B",IF($Q22="Duży",5652*19.52%,0),IF(OR($H22="Umowa o pracę",AND($H22="Umowa zlecenie",$L22&lt;&gt;"Tak")),R22*'Założenia 2026'!$B$9,0)),2))</f>
        <v>1103.27</v>
      </c>
      <c r="T22" s="35">
        <f>IF($G22="","",ROUND(IF($H22="B2B",IF($Q22="Duży",5652*8%,0),IF(OR($H22="Umowa o pracę",AND($H22="Umowa zlecenie",$L22&lt;&gt;"Tak")),R22*'Założenia 2026'!$B$10,0)),2))</f>
        <v>452.16</v>
      </c>
      <c r="U22" s="35">
        <f>IF($G22="","",ROUND(IF($H22="B2B",IF(AND($Q22="Duży",$M22="Tak"),5652*2.45%,0),IF(OR($H22="Umowa o pracę",AND($H22="Umowa zlecenie",$L22&lt;&gt;"Tak",$M22="Tak")),R22*'Założenia 2026'!$B$11,0)),2))</f>
        <v>0</v>
      </c>
      <c r="V22" s="35">
        <f>IF($G22="","",ROUND(IF($H22="B2B",IF($Q22="Duży",IF($M22="Tak",'Założenia 2026'!$B$24,'Założenia 2026'!$B$23),0),S22+T22+U22),2))</f>
        <v>1788.29</v>
      </c>
      <c r="W22" s="35">
        <f t="shared" si="1"/>
        <v>3211.71</v>
      </c>
      <c r="X22" s="35">
        <f>IF($G22="","",ROUND(IF($H22="B2B",IF($O22="Ryczałt",'Założenia 2026'!$B$27,MAX('Założenia 2026'!$B$22,IF($O22="Liniowy",W22*4.9%,W22*9%))),IF(OR($H22="Umowa o pracę",AND($H22="Umowa zlecenie",$L22&lt;&gt;"Tak")),W22*'Założenia 2026'!$B$12,0)),2))</f>
        <v>432.54</v>
      </c>
      <c r="Y22" s="35">
        <f>IF($G22="","",ROUND(IF($H22="Umowa o pracę",$J22,IF($H22="Umowa zlecenie",(R22-V22)*'Założenia 2026'!$B$32,IF($H22="Umowa o dzieło",R22*IF($N22="Tak",'Założenia 2026'!$B$33,'Założenia 2026'!$B$32),0))),2))</f>
        <v>0</v>
      </c>
      <c r="Z22" s="35">
        <f t="shared" si="2"/>
        <v>3212</v>
      </c>
      <c r="AA22" s="35">
        <f>IF($G22="","",MAX(0,ROUND(IF(AND(OR($H22="Umowa o pracę",$H22="Umowa zlecenie"),$K22="Tak"),0,IF(AND($H22="Umowa zlecenie",$L22="Tak"),0,IF($H22="B2B",IF($O22="Liniowy",MAX(0,(Z22-MIN(X22,'Założenia 2026'!$B$8))*'Założenia 2026'!$B$7),IF($O22="Ryczałt",Z22*$P22,MAX(0,Z22*'Założenia 2026'!$B$4-'Założenia 2026'!$B$6/12))),MAX(0,Z22*'Założenia 2026'!$B$4-IF($I22="Tak",300,0))))),0)))</f>
        <v>528</v>
      </c>
      <c r="AB22" s="35">
        <f t="shared" si="3"/>
        <v>2251.17</v>
      </c>
      <c r="AC22" s="35">
        <f>IF($G22="","",ROUND(IF($H22="B2B",R22,IF(OR($H22="Umowa o pracę",AND($H22="Umowa zlecenie",$L22&lt;&gt;"Tak")),R22+R22*('Założenia 2026'!$B$13+'Założenia 2026'!$B$14+'Założenia 2026'!$B$15+'Założenia 2026'!$B$16+'Założenia 2026'!$B$17),R22)),2))</f>
        <v>5000</v>
      </c>
      <c r="AD22" s="34">
        <f t="shared" si="4"/>
        <v>0.54976599999999998</v>
      </c>
    </row>
    <row r="23" spans="1:30" x14ac:dyDescent="0.35">
      <c r="A23" s="28">
        <v>21</v>
      </c>
      <c r="B23" s="29"/>
      <c r="C23" s="29"/>
      <c r="D23" s="29"/>
      <c r="E23" s="30"/>
      <c r="F23" s="28" t="s">
        <v>247</v>
      </c>
      <c r="G23" s="31">
        <v>24700</v>
      </c>
      <c r="H23" s="28" t="s">
        <v>248</v>
      </c>
      <c r="I23" s="28" t="s">
        <v>95</v>
      </c>
      <c r="J23" s="32">
        <v>250</v>
      </c>
      <c r="K23" s="28" t="s">
        <v>214</v>
      </c>
      <c r="L23" s="28" t="s">
        <v>214</v>
      </c>
      <c r="M23" s="28" t="s">
        <v>214</v>
      </c>
      <c r="N23" s="28" t="s">
        <v>214</v>
      </c>
      <c r="O23" s="28"/>
      <c r="P23" s="33"/>
      <c r="Q23" s="28"/>
      <c r="R23" s="35">
        <f t="shared" si="0"/>
        <v>24700</v>
      </c>
      <c r="S23" s="35">
        <f>IF($G23="","",ROUND(IF($H23="B2B",IF($Q23="Duży",5652*19.52%,0),IF(OR($H23="Umowa o pracę",AND($H23="Umowa zlecenie",$L23&lt;&gt;"Tak")),R23*'Założenia 2026'!$B$9,0)),2))</f>
        <v>2410.7199999999998</v>
      </c>
      <c r="T23" s="35">
        <f>IF($G23="","",ROUND(IF($H23="B2B",IF($Q23="Duży",5652*8%,0),IF(OR($H23="Umowa o pracę",AND($H23="Umowa zlecenie",$L23&lt;&gt;"Tak")),R23*'Założenia 2026'!$B$10,0)),2))</f>
        <v>370.5</v>
      </c>
      <c r="U23" s="35">
        <f>IF($G23="","",ROUND(IF($H23="B2B",IF(AND($Q23="Duży",$M23="Tak"),5652*2.45%,0),IF(OR($H23="Umowa o pracę",AND($H23="Umowa zlecenie",$L23&lt;&gt;"Tak",$M23="Tak")),R23*'Założenia 2026'!$B$11,0)),2))</f>
        <v>605.15</v>
      </c>
      <c r="V23" s="35">
        <f>IF($G23="","",ROUND(IF($H23="B2B",IF($Q23="Duży",IF($M23="Tak",'Założenia 2026'!$B$24,'Założenia 2026'!$B$23),0),S23+T23+U23),2))</f>
        <v>3386.37</v>
      </c>
      <c r="W23" s="35">
        <f t="shared" si="1"/>
        <v>21313.63</v>
      </c>
      <c r="X23" s="35">
        <f>IF($G23="","",ROUND(IF($H23="B2B",IF($O23="Ryczałt",'Założenia 2026'!$B$27,MAX('Założenia 2026'!$B$22,IF($O23="Liniowy",W23*4.9%,W23*9%))),IF(OR($H23="Umowa o pracę",AND($H23="Umowa zlecenie",$L23&lt;&gt;"Tak")),W23*'Założenia 2026'!$B$12,0)),2))</f>
        <v>1918.23</v>
      </c>
      <c r="Y23" s="35">
        <f>IF($G23="","",ROUND(IF($H23="Umowa o pracę",$J23,IF($H23="Umowa zlecenie",(R23-V23)*'Założenia 2026'!$B$32,IF($H23="Umowa o dzieło",R23*IF($N23="Tak",'Założenia 2026'!$B$33,'Założenia 2026'!$B$32),0))),2))</f>
        <v>250</v>
      </c>
      <c r="Z23" s="35">
        <f t="shared" si="2"/>
        <v>21064</v>
      </c>
      <c r="AA23" s="35">
        <f>IF($G23="","",MAX(0,ROUND(IF(AND(OR($H23="Umowa o pracę",$H23="Umowa zlecenie"),$K23="Tak"),0,IF(AND($H23="Umowa zlecenie",$L23="Tak"),0,IF($H23="B2B",IF($O23="Liniowy",MAX(0,(Z23-MIN(X23,'Założenia 2026'!$B$8))*'Założenia 2026'!$B$7),IF($O23="Ryczałt",Z23*$P23,MAX(0,Z23*'Założenia 2026'!$B$4-'Założenia 2026'!$B$6/12))),MAX(0,Z23*'Założenia 2026'!$B$4-IF($I23="Tak",300,0))))),0)))</f>
        <v>2228</v>
      </c>
      <c r="AB23" s="35">
        <f t="shared" si="3"/>
        <v>17167.400000000001</v>
      </c>
      <c r="AC23" s="35">
        <f>IF($G23="","",ROUND(IF($H23="B2B",R23,IF(OR($H23="Umowa o pracę",AND($H23="Umowa zlecenie",$L23&lt;&gt;"Tak")),R23+R23*('Założenia 2026'!$B$13+'Założenia 2026'!$B$14+'Założenia 2026'!$B$15+'Założenia 2026'!$B$16+'Założenia 2026'!$B$17),R23)),2))</f>
        <v>29758.560000000001</v>
      </c>
      <c r="AD23" s="34">
        <f t="shared" si="4"/>
        <v>0.42311052685344985</v>
      </c>
    </row>
    <row r="24" spans="1:30" x14ac:dyDescent="0.35">
      <c r="A24" s="28">
        <v>22</v>
      </c>
      <c r="B24" s="29"/>
      <c r="C24" s="29"/>
      <c r="D24" s="29"/>
      <c r="E24" s="30"/>
      <c r="F24" s="28" t="s">
        <v>247</v>
      </c>
      <c r="G24" s="31">
        <v>16200</v>
      </c>
      <c r="H24" s="28" t="s">
        <v>211</v>
      </c>
      <c r="I24" s="28" t="s">
        <v>95</v>
      </c>
      <c r="J24" s="32">
        <v>0</v>
      </c>
      <c r="K24" s="28" t="s">
        <v>214</v>
      </c>
      <c r="L24" s="28" t="s">
        <v>214</v>
      </c>
      <c r="M24" s="28" t="s">
        <v>95</v>
      </c>
      <c r="N24" s="28" t="s">
        <v>214</v>
      </c>
      <c r="O24" s="28"/>
      <c r="P24" s="33"/>
      <c r="Q24" s="28"/>
      <c r="R24" s="35">
        <f t="shared" si="0"/>
        <v>16200</v>
      </c>
      <c r="S24" s="35">
        <f>IF($G24="","",ROUND(IF($H24="B2B",IF($Q24="Duży",5652*19.52%,0),IF(OR($H24="Umowa o pracę",AND($H24="Umowa zlecenie",$L24&lt;&gt;"Tak")),R24*'Założenia 2026'!$B$9,0)),2))</f>
        <v>1581.12</v>
      </c>
      <c r="T24" s="35">
        <f>IF($G24="","",ROUND(IF($H24="B2B",IF($Q24="Duży",5652*8%,0),IF(OR($H24="Umowa o pracę",AND($H24="Umowa zlecenie",$L24&lt;&gt;"Tak")),R24*'Założenia 2026'!$B$10,0)),2))</f>
        <v>243</v>
      </c>
      <c r="U24" s="35">
        <f>IF($G24="","",ROUND(IF($H24="B2B",IF(AND($Q24="Duży",$M24="Tak"),5652*2.45%,0),IF(OR($H24="Umowa o pracę",AND($H24="Umowa zlecenie",$L24&lt;&gt;"Tak",$M24="Tak")),R24*'Założenia 2026'!$B$11,0)),2))</f>
        <v>396.9</v>
      </c>
      <c r="V24" s="35">
        <f>IF($G24="","",ROUND(IF($H24="B2B",IF($Q24="Duży",IF($M24="Tak",'Założenia 2026'!$B$24,'Założenia 2026'!$B$23),0),S24+T24+U24),2))</f>
        <v>2221.02</v>
      </c>
      <c r="W24" s="35">
        <f t="shared" si="1"/>
        <v>13978.98</v>
      </c>
      <c r="X24" s="35">
        <f>IF($G24="","",ROUND(IF($H24="B2B",IF($O24="Ryczałt",'Założenia 2026'!$B$27,MAX('Założenia 2026'!$B$22,IF($O24="Liniowy",W24*4.9%,W24*9%))),IF(OR($H24="Umowa o pracę",AND($H24="Umowa zlecenie",$L24&lt;&gt;"Tak")),W24*'Założenia 2026'!$B$12,0)),2))</f>
        <v>1258.1099999999999</v>
      </c>
      <c r="Y24" s="35">
        <f>IF($G24="","",ROUND(IF($H24="Umowa o pracę",$J24,IF($H24="Umowa zlecenie",(R24-V24)*'Założenia 2026'!$B$32,IF($H24="Umowa o dzieło",R24*IF($N24="Tak",'Założenia 2026'!$B$33,'Założenia 2026'!$B$32),0))),2))</f>
        <v>2795.8</v>
      </c>
      <c r="Z24" s="35">
        <f t="shared" si="2"/>
        <v>11183</v>
      </c>
      <c r="AA24" s="35">
        <f>IF($G24="","",MAX(0,ROUND(IF(AND(OR($H24="Umowa o pracę",$H24="Umowa zlecenie"),$K24="Tak"),0,IF(AND($H24="Umowa zlecenie",$L24="Tak"),0,IF($H24="B2B",IF($O24="Liniowy",MAX(0,(Z24-MIN(X24,'Założenia 2026'!$B$8))*'Założenia 2026'!$B$7),IF($O24="Ryczałt",Z24*$P24,MAX(0,Z24*'Założenia 2026'!$B$4-'Założenia 2026'!$B$6/12))),MAX(0,Z24*'Założenia 2026'!$B$4-IF($I24="Tak",300,0))))),0)))</f>
        <v>1042</v>
      </c>
      <c r="AB24" s="35">
        <f t="shared" si="3"/>
        <v>11678.87</v>
      </c>
      <c r="AC24" s="35">
        <f>IF($G24="","",ROUND(IF($H24="B2B",R24,IF(OR($H24="Umowa o pracę",AND($H24="Umowa zlecenie",$L24&lt;&gt;"Tak")),R24+R24*('Założenia 2026'!$B$13+'Założenia 2026'!$B$14+'Założenia 2026'!$B$15+'Założenia 2026'!$B$16+'Założenia 2026'!$B$17),R24)),2))</f>
        <v>19517.759999999998</v>
      </c>
      <c r="AD24" s="34">
        <f t="shared" si="4"/>
        <v>0.40162856803239705</v>
      </c>
    </row>
    <row r="25" spans="1:30" x14ac:dyDescent="0.35">
      <c r="A25" s="28">
        <v>23</v>
      </c>
      <c r="B25" s="29"/>
      <c r="C25" s="29"/>
      <c r="D25" s="29"/>
      <c r="E25" s="30"/>
      <c r="F25" s="28" t="s">
        <v>247</v>
      </c>
      <c r="G25" s="31">
        <v>15300</v>
      </c>
      <c r="H25" s="28" t="s">
        <v>212</v>
      </c>
      <c r="I25" s="28" t="s">
        <v>214</v>
      </c>
      <c r="J25" s="32">
        <v>0</v>
      </c>
      <c r="K25" s="28" t="s">
        <v>214</v>
      </c>
      <c r="L25" s="28" t="s">
        <v>214</v>
      </c>
      <c r="M25" s="28" t="s">
        <v>214</v>
      </c>
      <c r="N25" s="28" t="s">
        <v>95</v>
      </c>
      <c r="O25" s="28"/>
      <c r="P25" s="33"/>
      <c r="Q25" s="28"/>
      <c r="R25" s="35">
        <f t="shared" si="0"/>
        <v>15300</v>
      </c>
      <c r="S25" s="35">
        <f>IF($G25="","",ROUND(IF($H25="B2B",IF($Q25="Duży",5652*19.52%,0),IF(OR($H25="Umowa o pracę",AND($H25="Umowa zlecenie",$L25&lt;&gt;"Tak")),R25*'Założenia 2026'!$B$9,0)),2))</f>
        <v>0</v>
      </c>
      <c r="T25" s="35">
        <f>IF($G25="","",ROUND(IF($H25="B2B",IF($Q25="Duży",5652*8%,0),IF(OR($H25="Umowa o pracę",AND($H25="Umowa zlecenie",$L25&lt;&gt;"Tak")),R25*'Założenia 2026'!$B$10,0)),2))</f>
        <v>0</v>
      </c>
      <c r="U25" s="35">
        <f>IF($G25="","",ROUND(IF($H25="B2B",IF(AND($Q25="Duży",$M25="Tak"),5652*2.45%,0),IF(OR($H25="Umowa o pracę",AND($H25="Umowa zlecenie",$L25&lt;&gt;"Tak",$M25="Tak")),R25*'Założenia 2026'!$B$11,0)),2))</f>
        <v>0</v>
      </c>
      <c r="V25" s="35">
        <f>IF($G25="","",ROUND(IF($H25="B2B",IF($Q25="Duży",IF($M25="Tak",'Założenia 2026'!$B$24,'Założenia 2026'!$B$23),0),S25+T25+U25),2))</f>
        <v>0</v>
      </c>
      <c r="W25" s="35">
        <f t="shared" si="1"/>
        <v>15300</v>
      </c>
      <c r="X25" s="35">
        <f>IF($G25="","",ROUND(IF($H25="B2B",IF($O25="Ryczałt",'Założenia 2026'!$B$27,MAX('Założenia 2026'!$B$22,IF($O25="Liniowy",W25*4.9%,W25*9%))),IF(OR($H25="Umowa o pracę",AND($H25="Umowa zlecenie",$L25&lt;&gt;"Tak")),W25*'Założenia 2026'!$B$12,0)),2))</f>
        <v>0</v>
      </c>
      <c r="Y25" s="35">
        <f>IF($G25="","",ROUND(IF($H25="Umowa o pracę",$J25,IF($H25="Umowa zlecenie",(R25-V25)*'Założenia 2026'!$B$32,IF($H25="Umowa o dzieło",R25*IF($N25="Tak",'Założenia 2026'!$B$33,'Założenia 2026'!$B$32),0))),2))</f>
        <v>7650</v>
      </c>
      <c r="Z25" s="35">
        <f t="shared" si="2"/>
        <v>7650</v>
      </c>
      <c r="AA25" s="35">
        <f>IF($G25="","",MAX(0,ROUND(IF(AND(OR($H25="Umowa o pracę",$H25="Umowa zlecenie"),$K25="Tak"),0,IF(AND($H25="Umowa zlecenie",$L25="Tak"),0,IF($H25="B2B",IF($O25="Liniowy",MAX(0,(Z25-MIN(X25,'Założenia 2026'!$B$8))*'Założenia 2026'!$B$7),IF($O25="Ryczałt",Z25*$P25,MAX(0,Z25*'Założenia 2026'!$B$4-'Założenia 2026'!$B$6/12))),MAX(0,Z25*'Założenia 2026'!$B$4-IF($I25="Tak",300,0))))),0)))</f>
        <v>918</v>
      </c>
      <c r="AB25" s="35">
        <f t="shared" si="3"/>
        <v>14382</v>
      </c>
      <c r="AC25" s="35">
        <f>IF($G25="","",ROUND(IF($H25="B2B",R25,IF(OR($H25="Umowa o pracę",AND($H25="Umowa zlecenie",$L25&lt;&gt;"Tak")),R25+R25*('Założenia 2026'!$B$13+'Założenia 2026'!$B$14+'Założenia 2026'!$B$15+'Założenia 2026'!$B$16+'Założenia 2026'!$B$17),R25)),2))</f>
        <v>15300</v>
      </c>
      <c r="AD25" s="34">
        <f t="shared" si="4"/>
        <v>0.06</v>
      </c>
    </row>
    <row r="26" spans="1:30" x14ac:dyDescent="0.35">
      <c r="A26" s="28">
        <v>24</v>
      </c>
      <c r="B26" s="29"/>
      <c r="C26" s="29"/>
      <c r="D26" s="29"/>
      <c r="E26" s="30"/>
      <c r="F26" s="28" t="s">
        <v>247</v>
      </c>
      <c r="G26" s="31">
        <v>8500</v>
      </c>
      <c r="H26" s="28" t="s">
        <v>249</v>
      </c>
      <c r="I26" s="28" t="s">
        <v>214</v>
      </c>
      <c r="J26" s="32">
        <v>0</v>
      </c>
      <c r="K26" s="28" t="s">
        <v>214</v>
      </c>
      <c r="L26" s="28" t="s">
        <v>214</v>
      </c>
      <c r="M26" s="28" t="s">
        <v>214</v>
      </c>
      <c r="N26" s="28" t="s">
        <v>214</v>
      </c>
      <c r="O26" s="28" t="s">
        <v>252</v>
      </c>
      <c r="P26" s="33"/>
      <c r="Q26" s="28" t="s">
        <v>250</v>
      </c>
      <c r="R26" s="35">
        <f t="shared" si="0"/>
        <v>8500</v>
      </c>
      <c r="S26" s="35">
        <f>IF($G26="","",ROUND(IF($H26="B2B",IF($Q26="Duży",5652*19.52%,0),IF(OR($H26="Umowa o pracę",AND($H26="Umowa zlecenie",$L26&lt;&gt;"Tak")),R26*'Założenia 2026'!$B$9,0)),2))</f>
        <v>1103.27</v>
      </c>
      <c r="T26" s="35">
        <f>IF($G26="","",ROUND(IF($H26="B2B",IF($Q26="Duży",5652*8%,0),IF(OR($H26="Umowa o pracę",AND($H26="Umowa zlecenie",$L26&lt;&gt;"Tak")),R26*'Założenia 2026'!$B$10,0)),2))</f>
        <v>452.16</v>
      </c>
      <c r="U26" s="35">
        <f>IF($G26="","",ROUND(IF($H26="B2B",IF(AND($Q26="Duży",$M26="Tak"),5652*2.45%,0),IF(OR($H26="Umowa o pracę",AND($H26="Umowa zlecenie",$L26&lt;&gt;"Tak",$M26="Tak")),R26*'Założenia 2026'!$B$11,0)),2))</f>
        <v>0</v>
      </c>
      <c r="V26" s="35">
        <f>IF($G26="","",ROUND(IF($H26="B2B",IF($Q26="Duży",IF($M26="Tak",'Założenia 2026'!$B$24,'Założenia 2026'!$B$23),0),S26+T26+U26),2))</f>
        <v>1788.29</v>
      </c>
      <c r="W26" s="35">
        <f t="shared" si="1"/>
        <v>6711.71</v>
      </c>
      <c r="X26" s="35">
        <f>IF($G26="","",ROUND(IF($H26="B2B",IF($O26="Ryczałt",'Założenia 2026'!$B$27,MAX('Założenia 2026'!$B$22,IF($O26="Liniowy",W26*4.9%,W26*9%))),IF(OR($H26="Umowa o pracę",AND($H26="Umowa zlecenie",$L26&lt;&gt;"Tak")),W26*'Założenia 2026'!$B$12,0)),2))</f>
        <v>604.04999999999995</v>
      </c>
      <c r="Y26" s="35">
        <f>IF($G26="","",ROUND(IF($H26="Umowa o pracę",$J26,IF($H26="Umowa zlecenie",(R26-V26)*'Założenia 2026'!$B$32,IF($H26="Umowa o dzieło",R26*IF($N26="Tak",'Założenia 2026'!$B$33,'Założenia 2026'!$B$32),0))),2))</f>
        <v>0</v>
      </c>
      <c r="Z26" s="35">
        <f t="shared" si="2"/>
        <v>6712</v>
      </c>
      <c r="AA26" s="35">
        <f>IF($G26="","",MAX(0,ROUND(IF(AND(OR($H26="Umowa o pracę",$H26="Umowa zlecenie"),$K26="Tak"),0,IF(AND($H26="Umowa zlecenie",$L26="Tak"),0,IF($H26="B2B",IF($O26="Liniowy",MAX(0,(Z26-MIN(X26,'Założenia 2026'!$B$8))*'Założenia 2026'!$B$7),IF($O26="Ryczałt",Z26*$P26,MAX(0,Z26*'Założenia 2026'!$B$4-'Założenia 2026'!$B$6/12))),MAX(0,Z26*'Założenia 2026'!$B$4-IF($I26="Tak",300,0))))),0)))</f>
        <v>505</v>
      </c>
      <c r="AB26" s="35">
        <f t="shared" si="3"/>
        <v>5602.66</v>
      </c>
      <c r="AC26" s="35">
        <f>IF($G26="","",ROUND(IF($H26="B2B",R26,IF(OR($H26="Umowa o pracę",AND($H26="Umowa zlecenie",$L26&lt;&gt;"Tak")),R26+R26*('Założenia 2026'!$B$13+'Założenia 2026'!$B$14+'Założenia 2026'!$B$15+'Założenia 2026'!$B$16+'Założenia 2026'!$B$17),R26)),2))</f>
        <v>8500</v>
      </c>
      <c r="AD26" s="34">
        <f t="shared" si="4"/>
        <v>0.34086352941176473</v>
      </c>
    </row>
    <row r="27" spans="1:30" x14ac:dyDescent="0.35">
      <c r="A27" s="28">
        <v>25</v>
      </c>
      <c r="B27" s="29"/>
      <c r="C27" s="29"/>
      <c r="D27" s="29"/>
      <c r="E27" s="30"/>
      <c r="F27" s="28" t="s">
        <v>247</v>
      </c>
      <c r="G27" s="31">
        <v>17200</v>
      </c>
      <c r="H27" s="28" t="s">
        <v>248</v>
      </c>
      <c r="I27" s="28" t="s">
        <v>95</v>
      </c>
      <c r="J27" s="32">
        <v>250</v>
      </c>
      <c r="K27" s="28" t="s">
        <v>214</v>
      </c>
      <c r="L27" s="28" t="s">
        <v>214</v>
      </c>
      <c r="M27" s="28" t="s">
        <v>214</v>
      </c>
      <c r="N27" s="28" t="s">
        <v>214</v>
      </c>
      <c r="O27" s="28"/>
      <c r="P27" s="33"/>
      <c r="Q27" s="28"/>
      <c r="R27" s="35">
        <f t="shared" si="0"/>
        <v>17200</v>
      </c>
      <c r="S27" s="35">
        <f>IF($G27="","",ROUND(IF($H27="B2B",IF($Q27="Duży",5652*19.52%,0),IF(OR($H27="Umowa o pracę",AND($H27="Umowa zlecenie",$L27&lt;&gt;"Tak")),R27*'Założenia 2026'!$B$9,0)),2))</f>
        <v>1678.72</v>
      </c>
      <c r="T27" s="35">
        <f>IF($G27="","",ROUND(IF($H27="B2B",IF($Q27="Duży",5652*8%,0),IF(OR($H27="Umowa o pracę",AND($H27="Umowa zlecenie",$L27&lt;&gt;"Tak")),R27*'Założenia 2026'!$B$10,0)),2))</f>
        <v>258</v>
      </c>
      <c r="U27" s="35">
        <f>IF($G27="","",ROUND(IF($H27="B2B",IF(AND($Q27="Duży",$M27="Tak"),5652*2.45%,0),IF(OR($H27="Umowa o pracę",AND($H27="Umowa zlecenie",$L27&lt;&gt;"Tak",$M27="Tak")),R27*'Założenia 2026'!$B$11,0)),2))</f>
        <v>421.4</v>
      </c>
      <c r="V27" s="35">
        <f>IF($G27="","",ROUND(IF($H27="B2B",IF($Q27="Duży",IF($M27="Tak",'Założenia 2026'!$B$24,'Założenia 2026'!$B$23),0),S27+T27+U27),2))</f>
        <v>2358.12</v>
      </c>
      <c r="W27" s="35">
        <f t="shared" si="1"/>
        <v>14841.88</v>
      </c>
      <c r="X27" s="35">
        <f>IF($G27="","",ROUND(IF($H27="B2B",IF($O27="Ryczałt",'Założenia 2026'!$B$27,MAX('Założenia 2026'!$B$22,IF($O27="Liniowy",W27*4.9%,W27*9%))),IF(OR($H27="Umowa o pracę",AND($H27="Umowa zlecenie",$L27&lt;&gt;"Tak")),W27*'Założenia 2026'!$B$12,0)),2))</f>
        <v>1335.77</v>
      </c>
      <c r="Y27" s="35">
        <f>IF($G27="","",ROUND(IF($H27="Umowa o pracę",$J27,IF($H27="Umowa zlecenie",(R27-V27)*'Założenia 2026'!$B$32,IF($H27="Umowa o dzieło",R27*IF($N27="Tak",'Założenia 2026'!$B$33,'Założenia 2026'!$B$32),0))),2))</f>
        <v>250</v>
      </c>
      <c r="Z27" s="35">
        <f t="shared" si="2"/>
        <v>14592</v>
      </c>
      <c r="AA27" s="35">
        <f>IF($G27="","",MAX(0,ROUND(IF(AND(OR($H27="Umowa o pracę",$H27="Umowa zlecenie"),$K27="Tak"),0,IF(AND($H27="Umowa zlecenie",$L27="Tak"),0,IF($H27="B2B",IF($O27="Liniowy",MAX(0,(Z27-MIN(X27,'Założenia 2026'!$B$8))*'Założenia 2026'!$B$7),IF($O27="Ryczałt",Z27*$P27,MAX(0,Z27*'Założenia 2026'!$B$4-'Założenia 2026'!$B$6/12))),MAX(0,Z27*'Założenia 2026'!$B$4-IF($I27="Tak",300,0))))),0)))</f>
        <v>1451</v>
      </c>
      <c r="AB27" s="35">
        <f t="shared" si="3"/>
        <v>12055.11</v>
      </c>
      <c r="AC27" s="35">
        <f>IF($G27="","",ROUND(IF($H27="B2B",R27,IF(OR($H27="Umowa o pracę",AND($H27="Umowa zlecenie",$L27&lt;&gt;"Tak")),R27+R27*('Założenia 2026'!$B$13+'Założenia 2026'!$B$14+'Założenia 2026'!$B$15+'Założenia 2026'!$B$16+'Założenia 2026'!$B$17),R27)),2))</f>
        <v>20722.560000000001</v>
      </c>
      <c r="AD27" s="34">
        <f t="shared" si="4"/>
        <v>0.41826154683591216</v>
      </c>
    </row>
    <row r="28" spans="1:30" x14ac:dyDescent="0.35">
      <c r="A28" s="28">
        <v>26</v>
      </c>
      <c r="B28" s="29"/>
      <c r="C28" s="29"/>
      <c r="D28" s="29"/>
      <c r="E28" s="30"/>
      <c r="F28" s="28" t="s">
        <v>247</v>
      </c>
      <c r="G28" s="31">
        <v>7500</v>
      </c>
      <c r="H28" s="28" t="s">
        <v>211</v>
      </c>
      <c r="I28" s="28" t="s">
        <v>95</v>
      </c>
      <c r="J28" s="32">
        <v>0</v>
      </c>
      <c r="K28" s="28" t="s">
        <v>214</v>
      </c>
      <c r="L28" s="28" t="s">
        <v>95</v>
      </c>
      <c r="M28" s="28" t="s">
        <v>214</v>
      </c>
      <c r="N28" s="28" t="s">
        <v>214</v>
      </c>
      <c r="O28" s="28"/>
      <c r="P28" s="33"/>
      <c r="Q28" s="28"/>
      <c r="R28" s="35">
        <f t="shared" si="0"/>
        <v>7500</v>
      </c>
      <c r="S28" s="35">
        <f>IF($G28="","",ROUND(IF($H28="B2B",IF($Q28="Duży",5652*19.52%,0),IF(OR($H28="Umowa o pracę",AND($H28="Umowa zlecenie",$L28&lt;&gt;"Tak")),R28*'Założenia 2026'!$B$9,0)),2))</f>
        <v>0</v>
      </c>
      <c r="T28" s="35">
        <f>IF($G28="","",ROUND(IF($H28="B2B",IF($Q28="Duży",5652*8%,0),IF(OR($H28="Umowa o pracę",AND($H28="Umowa zlecenie",$L28&lt;&gt;"Tak")),R28*'Założenia 2026'!$B$10,0)),2))</f>
        <v>0</v>
      </c>
      <c r="U28" s="35">
        <f>IF($G28="","",ROUND(IF($H28="B2B",IF(AND($Q28="Duży",$M28="Tak"),5652*2.45%,0),IF(OR($H28="Umowa o pracę",AND($H28="Umowa zlecenie",$L28&lt;&gt;"Tak",$M28="Tak")),R28*'Założenia 2026'!$B$11,0)),2))</f>
        <v>0</v>
      </c>
      <c r="V28" s="35">
        <f>IF($G28="","",ROUND(IF($H28="B2B",IF($Q28="Duży",IF($M28="Tak",'Założenia 2026'!$B$24,'Założenia 2026'!$B$23),0),S28+T28+U28),2))</f>
        <v>0</v>
      </c>
      <c r="W28" s="35">
        <f t="shared" si="1"/>
        <v>0</v>
      </c>
      <c r="X28" s="35">
        <f>IF($G28="","",ROUND(IF($H28="B2B",IF($O28="Ryczałt",'Założenia 2026'!$B$27,MAX('Założenia 2026'!$B$22,IF($O28="Liniowy",W28*4.9%,W28*9%))),IF(OR($H28="Umowa o pracę",AND($H28="Umowa zlecenie",$L28&lt;&gt;"Tak")),W28*'Założenia 2026'!$B$12,0)),2))</f>
        <v>0</v>
      </c>
      <c r="Y28" s="35">
        <f>IF($G28="","",ROUND(IF($H28="Umowa o pracę",$J28,IF($H28="Umowa zlecenie",(R28-V28)*'Założenia 2026'!$B$32,IF($H28="Umowa o dzieło",R28*IF($N28="Tak",'Założenia 2026'!$B$33,'Założenia 2026'!$B$32),0))),2))</f>
        <v>1500</v>
      </c>
      <c r="Z28" s="35">
        <f t="shared" si="2"/>
        <v>6000</v>
      </c>
      <c r="AA28" s="35">
        <f>IF($G28="","",MAX(0,ROUND(IF(AND(OR($H28="Umowa o pracę",$H28="Umowa zlecenie"),$K28="Tak"),0,IF(AND($H28="Umowa zlecenie",$L28="Tak"),0,IF($H28="B2B",IF($O28="Liniowy",MAX(0,(Z28-MIN(X28,'Założenia 2026'!$B$8))*'Założenia 2026'!$B$7),IF($O28="Ryczałt",Z28*$P28,MAX(0,Z28*'Założenia 2026'!$B$4-'Założenia 2026'!$B$6/12))),MAX(0,Z28*'Założenia 2026'!$B$4-IF($I28="Tak",300,0))))),0)))</f>
        <v>0</v>
      </c>
      <c r="AB28" s="35">
        <f t="shared" si="3"/>
        <v>7500</v>
      </c>
      <c r="AC28" s="35">
        <f>IF($G28="","",ROUND(IF($H28="B2B",R28,IF(OR($H28="Umowa o pracę",AND($H28="Umowa zlecenie",$L28&lt;&gt;"Tak")),R28+R28*('Założenia 2026'!$B$13+'Założenia 2026'!$B$14+'Założenia 2026'!$B$15+'Założenia 2026'!$B$16+'Założenia 2026'!$B$17),R28)),2))</f>
        <v>7500</v>
      </c>
      <c r="AD28" s="34">
        <f t="shared" si="4"/>
        <v>0</v>
      </c>
    </row>
    <row r="29" spans="1:30" x14ac:dyDescent="0.35">
      <c r="A29" s="28">
        <v>27</v>
      </c>
      <c r="B29" s="29"/>
      <c r="C29" s="29"/>
      <c r="D29" s="29"/>
      <c r="E29" s="30"/>
      <c r="F29" s="28" t="s">
        <v>247</v>
      </c>
      <c r="G29" s="31">
        <v>15000</v>
      </c>
      <c r="H29" s="28" t="s">
        <v>212</v>
      </c>
      <c r="I29" s="28" t="s">
        <v>214</v>
      </c>
      <c r="J29" s="32">
        <v>0</v>
      </c>
      <c r="K29" s="28" t="s">
        <v>214</v>
      </c>
      <c r="L29" s="28" t="s">
        <v>214</v>
      </c>
      <c r="M29" s="28" t="s">
        <v>214</v>
      </c>
      <c r="N29" s="28" t="s">
        <v>95</v>
      </c>
      <c r="O29" s="28"/>
      <c r="P29" s="33"/>
      <c r="Q29" s="28"/>
      <c r="R29" s="35">
        <f t="shared" si="0"/>
        <v>15000</v>
      </c>
      <c r="S29" s="35">
        <f>IF($G29="","",ROUND(IF($H29="B2B",IF($Q29="Duży",5652*19.52%,0),IF(OR($H29="Umowa o pracę",AND($H29="Umowa zlecenie",$L29&lt;&gt;"Tak")),R29*'Założenia 2026'!$B$9,0)),2))</f>
        <v>0</v>
      </c>
      <c r="T29" s="35">
        <f>IF($G29="","",ROUND(IF($H29="B2B",IF($Q29="Duży",5652*8%,0),IF(OR($H29="Umowa o pracę",AND($H29="Umowa zlecenie",$L29&lt;&gt;"Tak")),R29*'Założenia 2026'!$B$10,0)),2))</f>
        <v>0</v>
      </c>
      <c r="U29" s="35">
        <f>IF($G29="","",ROUND(IF($H29="B2B",IF(AND($Q29="Duży",$M29="Tak"),5652*2.45%,0),IF(OR($H29="Umowa o pracę",AND($H29="Umowa zlecenie",$L29&lt;&gt;"Tak",$M29="Tak")),R29*'Założenia 2026'!$B$11,0)),2))</f>
        <v>0</v>
      </c>
      <c r="V29" s="35">
        <f>IF($G29="","",ROUND(IF($H29="B2B",IF($Q29="Duży",IF($M29="Tak",'Założenia 2026'!$B$24,'Założenia 2026'!$B$23),0),S29+T29+U29),2))</f>
        <v>0</v>
      </c>
      <c r="W29" s="35">
        <f t="shared" si="1"/>
        <v>15000</v>
      </c>
      <c r="X29" s="35">
        <f>IF($G29="","",ROUND(IF($H29="B2B",IF($O29="Ryczałt",'Założenia 2026'!$B$27,MAX('Założenia 2026'!$B$22,IF($O29="Liniowy",W29*4.9%,W29*9%))),IF(OR($H29="Umowa o pracę",AND($H29="Umowa zlecenie",$L29&lt;&gt;"Tak")),W29*'Założenia 2026'!$B$12,0)),2))</f>
        <v>0</v>
      </c>
      <c r="Y29" s="35">
        <f>IF($G29="","",ROUND(IF($H29="Umowa o pracę",$J29,IF($H29="Umowa zlecenie",(R29-V29)*'Założenia 2026'!$B$32,IF($H29="Umowa o dzieło",R29*IF($N29="Tak",'Założenia 2026'!$B$33,'Założenia 2026'!$B$32),0))),2))</f>
        <v>7500</v>
      </c>
      <c r="Z29" s="35">
        <f t="shared" si="2"/>
        <v>7500</v>
      </c>
      <c r="AA29" s="35">
        <f>IF($G29="","",MAX(0,ROUND(IF(AND(OR($H29="Umowa o pracę",$H29="Umowa zlecenie"),$K29="Tak"),0,IF(AND($H29="Umowa zlecenie",$L29="Tak"),0,IF($H29="B2B",IF($O29="Liniowy",MAX(0,(Z29-MIN(X29,'Założenia 2026'!$B$8))*'Założenia 2026'!$B$7),IF($O29="Ryczałt",Z29*$P29,MAX(0,Z29*'Założenia 2026'!$B$4-'Założenia 2026'!$B$6/12))),MAX(0,Z29*'Założenia 2026'!$B$4-IF($I29="Tak",300,0))))),0)))</f>
        <v>900</v>
      </c>
      <c r="AB29" s="35">
        <f t="shared" si="3"/>
        <v>14100</v>
      </c>
      <c r="AC29" s="35">
        <f>IF($G29="","",ROUND(IF($H29="B2B",R29,IF(OR($H29="Umowa o pracę",AND($H29="Umowa zlecenie",$L29&lt;&gt;"Tak")),R29+R29*('Założenia 2026'!$B$13+'Założenia 2026'!$B$14+'Założenia 2026'!$B$15+'Założenia 2026'!$B$16+'Założenia 2026'!$B$17),R29)),2))</f>
        <v>15000</v>
      </c>
      <c r="AD29" s="34">
        <f t="shared" si="4"/>
        <v>0.06</v>
      </c>
    </row>
    <row r="30" spans="1:30" x14ac:dyDescent="0.35">
      <c r="A30" s="28">
        <v>28</v>
      </c>
      <c r="B30" s="29"/>
      <c r="C30" s="29"/>
      <c r="D30" s="29"/>
      <c r="E30" s="30"/>
      <c r="F30" s="28" t="s">
        <v>247</v>
      </c>
      <c r="G30" s="31">
        <v>9000</v>
      </c>
      <c r="H30" s="28" t="s">
        <v>249</v>
      </c>
      <c r="I30" s="28" t="s">
        <v>214</v>
      </c>
      <c r="J30" s="32">
        <v>0</v>
      </c>
      <c r="K30" s="28" t="s">
        <v>95</v>
      </c>
      <c r="L30" s="28" t="s">
        <v>214</v>
      </c>
      <c r="M30" s="28" t="s">
        <v>95</v>
      </c>
      <c r="N30" s="28" t="s">
        <v>214</v>
      </c>
      <c r="O30" s="28" t="s">
        <v>213</v>
      </c>
      <c r="P30" s="33">
        <v>8.5000000000000006E-2</v>
      </c>
      <c r="Q30" s="28" t="s">
        <v>250</v>
      </c>
      <c r="R30" s="35">
        <f t="shared" si="0"/>
        <v>9000</v>
      </c>
      <c r="S30" s="35">
        <f>IF($G30="","",ROUND(IF($H30="B2B",IF($Q30="Duży",5652*19.52%,0),IF(OR($H30="Umowa o pracę",AND($H30="Umowa zlecenie",$L30&lt;&gt;"Tak")),R30*'Założenia 2026'!$B$9,0)),2))</f>
        <v>1103.27</v>
      </c>
      <c r="T30" s="35">
        <f>IF($G30="","",ROUND(IF($H30="B2B",IF($Q30="Duży",5652*8%,0),IF(OR($H30="Umowa o pracę",AND($H30="Umowa zlecenie",$L30&lt;&gt;"Tak")),R30*'Założenia 2026'!$B$10,0)),2))</f>
        <v>452.16</v>
      </c>
      <c r="U30" s="35">
        <f>IF($G30="","",ROUND(IF($H30="B2B",IF(AND($Q30="Duży",$M30="Tak"),5652*2.45%,0),IF(OR($H30="Umowa o pracę",AND($H30="Umowa zlecenie",$L30&lt;&gt;"Tak",$M30="Tak")),R30*'Założenia 2026'!$B$11,0)),2))</f>
        <v>138.47</v>
      </c>
      <c r="V30" s="35">
        <f>IF($G30="","",ROUND(IF($H30="B2B",IF($Q30="Duży",IF($M30="Tak",'Założenia 2026'!$B$24,'Założenia 2026'!$B$23),0),S30+T30+U30),2))</f>
        <v>1926.76</v>
      </c>
      <c r="W30" s="35">
        <f t="shared" si="1"/>
        <v>7073.24</v>
      </c>
      <c r="X30" s="35">
        <f>IF($G30="","",ROUND(IF($H30="B2B",IF($O30="Ryczałt",'Założenia 2026'!$B$27,MAX('Założenia 2026'!$B$22,IF($O30="Liniowy",W30*4.9%,W30*9%))),IF(OR($H30="Umowa o pracę",AND($H30="Umowa zlecenie",$L30&lt;&gt;"Tak")),W30*'Założenia 2026'!$B$12,0)),2))</f>
        <v>498.35</v>
      </c>
      <c r="Y30" s="35">
        <f>IF($G30="","",ROUND(IF($H30="Umowa o pracę",$J30,IF($H30="Umowa zlecenie",(R30-V30)*'Założenia 2026'!$B$32,IF($H30="Umowa o dzieło",R30*IF($N30="Tak",'Założenia 2026'!$B$33,'Założenia 2026'!$B$32),0))),2))</f>
        <v>0</v>
      </c>
      <c r="Z30" s="35">
        <f t="shared" si="2"/>
        <v>6824</v>
      </c>
      <c r="AA30" s="35">
        <f>IF($G30="","",MAX(0,ROUND(IF(AND(OR($H30="Umowa o pracę",$H30="Umowa zlecenie"),$K30="Tak"),0,IF(AND($H30="Umowa zlecenie",$L30="Tak"),0,IF($H30="B2B",IF($O30="Liniowy",MAX(0,(Z30-MIN(X30,'Założenia 2026'!$B$8))*'Założenia 2026'!$B$7),IF($O30="Ryczałt",Z30*$P30,MAX(0,Z30*'Założenia 2026'!$B$4-'Założenia 2026'!$B$6/12))),MAX(0,Z30*'Założenia 2026'!$B$4-IF($I30="Tak",300,0))))),0)))</f>
        <v>580</v>
      </c>
      <c r="AB30" s="35">
        <f t="shared" si="3"/>
        <v>5994.89</v>
      </c>
      <c r="AC30" s="35">
        <f>IF($G30="","",ROUND(IF($H30="B2B",R30,IF(OR($H30="Umowa o pracę",AND($H30="Umowa zlecenie",$L30&lt;&gt;"Tak")),R30+R30*('Założenia 2026'!$B$13+'Założenia 2026'!$B$14+'Założenia 2026'!$B$15+'Założenia 2026'!$B$16+'Założenia 2026'!$B$17),R30)),2))</f>
        <v>9000</v>
      </c>
      <c r="AD30" s="34">
        <f t="shared" si="4"/>
        <v>0.33390111111111109</v>
      </c>
    </row>
    <row r="31" spans="1:30" x14ac:dyDescent="0.35">
      <c r="A31" s="28">
        <v>29</v>
      </c>
      <c r="B31" s="29"/>
      <c r="C31" s="29"/>
      <c r="D31" s="29"/>
      <c r="E31" s="30"/>
      <c r="F31" s="28" t="s">
        <v>247</v>
      </c>
      <c r="G31" s="31">
        <v>6400</v>
      </c>
      <c r="H31" s="28" t="s">
        <v>248</v>
      </c>
      <c r="I31" s="28" t="s">
        <v>95</v>
      </c>
      <c r="J31" s="32">
        <v>250</v>
      </c>
      <c r="K31" s="28" t="s">
        <v>214</v>
      </c>
      <c r="L31" s="28" t="s">
        <v>214</v>
      </c>
      <c r="M31" s="28" t="s">
        <v>214</v>
      </c>
      <c r="N31" s="28" t="s">
        <v>214</v>
      </c>
      <c r="O31" s="28"/>
      <c r="P31" s="33"/>
      <c r="Q31" s="28"/>
      <c r="R31" s="35">
        <f t="shared" si="0"/>
        <v>6400</v>
      </c>
      <c r="S31" s="35">
        <f>IF($G31="","",ROUND(IF($H31="B2B",IF($Q31="Duży",5652*19.52%,0),IF(OR($H31="Umowa o pracę",AND($H31="Umowa zlecenie",$L31&lt;&gt;"Tak")),R31*'Założenia 2026'!$B$9,0)),2))</f>
        <v>624.64</v>
      </c>
      <c r="T31" s="35">
        <f>IF($G31="","",ROUND(IF($H31="B2B",IF($Q31="Duży",5652*8%,0),IF(OR($H31="Umowa o pracę",AND($H31="Umowa zlecenie",$L31&lt;&gt;"Tak")),R31*'Założenia 2026'!$B$10,0)),2))</f>
        <v>96</v>
      </c>
      <c r="U31" s="35">
        <f>IF($G31="","",ROUND(IF($H31="B2B",IF(AND($Q31="Duży",$M31="Tak"),5652*2.45%,0),IF(OR($H31="Umowa o pracę",AND($H31="Umowa zlecenie",$L31&lt;&gt;"Tak",$M31="Tak")),R31*'Założenia 2026'!$B$11,0)),2))</f>
        <v>156.80000000000001</v>
      </c>
      <c r="V31" s="35">
        <f>IF($G31="","",ROUND(IF($H31="B2B",IF($Q31="Duży",IF($M31="Tak",'Założenia 2026'!$B$24,'Założenia 2026'!$B$23),0),S31+T31+U31),2))</f>
        <v>877.44</v>
      </c>
      <c r="W31" s="35">
        <f t="shared" si="1"/>
        <v>5522.56</v>
      </c>
      <c r="X31" s="35">
        <f>IF($G31="","",ROUND(IF($H31="B2B",IF($O31="Ryczałt",'Założenia 2026'!$B$27,MAX('Założenia 2026'!$B$22,IF($O31="Liniowy",W31*4.9%,W31*9%))),IF(OR($H31="Umowa o pracę",AND($H31="Umowa zlecenie",$L31&lt;&gt;"Tak")),W31*'Założenia 2026'!$B$12,0)),2))</f>
        <v>497.03</v>
      </c>
      <c r="Y31" s="35">
        <f>IF($G31="","",ROUND(IF($H31="Umowa o pracę",$J31,IF($H31="Umowa zlecenie",(R31-V31)*'Założenia 2026'!$B$32,IF($H31="Umowa o dzieło",R31*IF($N31="Tak",'Założenia 2026'!$B$33,'Założenia 2026'!$B$32),0))),2))</f>
        <v>250</v>
      </c>
      <c r="Z31" s="35">
        <f t="shared" si="2"/>
        <v>5273</v>
      </c>
      <c r="AA31" s="35">
        <f>IF($G31="","",MAX(0,ROUND(IF(AND(OR($H31="Umowa o pracę",$H31="Umowa zlecenie"),$K31="Tak"),0,IF(AND($H31="Umowa zlecenie",$L31="Tak"),0,IF($H31="B2B",IF($O31="Liniowy",MAX(0,(Z31-MIN(X31,'Założenia 2026'!$B$8))*'Założenia 2026'!$B$7),IF($O31="Ryczałt",Z31*$P31,MAX(0,Z31*'Założenia 2026'!$B$4-'Założenia 2026'!$B$6/12))),MAX(0,Z31*'Założenia 2026'!$B$4-IF($I31="Tak",300,0))))),0)))</f>
        <v>333</v>
      </c>
      <c r="AB31" s="35">
        <f t="shared" si="3"/>
        <v>4692.53</v>
      </c>
      <c r="AC31" s="35">
        <f>IF($G31="","",ROUND(IF($H31="B2B",R31,IF(OR($H31="Umowa o pracę",AND($H31="Umowa zlecenie",$L31&lt;&gt;"Tak")),R31+R31*('Założenia 2026'!$B$13+'Założenia 2026'!$B$14+'Założenia 2026'!$B$15+'Założenia 2026'!$B$16+'Założenia 2026'!$B$17),R31)),2))</f>
        <v>7710.72</v>
      </c>
      <c r="AD31" s="34">
        <f t="shared" si="4"/>
        <v>0.39142777846945559</v>
      </c>
    </row>
    <row r="32" spans="1:30" x14ac:dyDescent="0.35">
      <c r="A32" s="28">
        <v>30</v>
      </c>
      <c r="B32" s="29"/>
      <c r="C32" s="29"/>
      <c r="D32" s="29"/>
      <c r="E32" s="30"/>
      <c r="F32" s="28" t="s">
        <v>247</v>
      </c>
      <c r="G32" s="31">
        <v>7800</v>
      </c>
      <c r="H32" s="28" t="s">
        <v>211</v>
      </c>
      <c r="I32" s="28" t="s">
        <v>95</v>
      </c>
      <c r="J32" s="32">
        <v>0</v>
      </c>
      <c r="K32" s="28" t="s">
        <v>214</v>
      </c>
      <c r="L32" s="28" t="s">
        <v>214</v>
      </c>
      <c r="M32" s="28" t="s">
        <v>214</v>
      </c>
      <c r="N32" s="28" t="s">
        <v>214</v>
      </c>
      <c r="O32" s="28"/>
      <c r="P32" s="33"/>
      <c r="Q32" s="28"/>
      <c r="R32" s="35">
        <f t="shared" si="0"/>
        <v>7800</v>
      </c>
      <c r="S32" s="35">
        <f>IF($G32="","",ROUND(IF($H32="B2B",IF($Q32="Duży",5652*19.52%,0),IF(OR($H32="Umowa o pracę",AND($H32="Umowa zlecenie",$L32&lt;&gt;"Tak")),R32*'Założenia 2026'!$B$9,0)),2))</f>
        <v>761.28</v>
      </c>
      <c r="T32" s="35">
        <f>IF($G32="","",ROUND(IF($H32="B2B",IF($Q32="Duży",5652*8%,0),IF(OR($H32="Umowa o pracę",AND($H32="Umowa zlecenie",$L32&lt;&gt;"Tak")),R32*'Założenia 2026'!$B$10,0)),2))</f>
        <v>117</v>
      </c>
      <c r="U32" s="35">
        <f>IF($G32="","",ROUND(IF($H32="B2B",IF(AND($Q32="Duży",$M32="Tak"),5652*2.45%,0),IF(OR($H32="Umowa o pracę",AND($H32="Umowa zlecenie",$L32&lt;&gt;"Tak",$M32="Tak")),R32*'Założenia 2026'!$B$11,0)),2))</f>
        <v>0</v>
      </c>
      <c r="V32" s="35">
        <f>IF($G32="","",ROUND(IF($H32="B2B",IF($Q32="Duży",IF($M32="Tak",'Założenia 2026'!$B$24,'Założenia 2026'!$B$23),0),S32+T32+U32),2))</f>
        <v>878.28</v>
      </c>
      <c r="W32" s="35">
        <f t="shared" si="1"/>
        <v>6921.72</v>
      </c>
      <c r="X32" s="35">
        <f>IF($G32="","",ROUND(IF($H32="B2B",IF($O32="Ryczałt",'Założenia 2026'!$B$27,MAX('Założenia 2026'!$B$22,IF($O32="Liniowy",W32*4.9%,W32*9%))),IF(OR($H32="Umowa o pracę",AND($H32="Umowa zlecenie",$L32&lt;&gt;"Tak")),W32*'Założenia 2026'!$B$12,0)),2))</f>
        <v>622.95000000000005</v>
      </c>
      <c r="Y32" s="35">
        <f>IF($G32="","",ROUND(IF($H32="Umowa o pracę",$J32,IF($H32="Umowa zlecenie",(R32-V32)*'Założenia 2026'!$B$32,IF($H32="Umowa o dzieło",R32*IF($N32="Tak",'Założenia 2026'!$B$33,'Założenia 2026'!$B$32),0))),2))</f>
        <v>1384.34</v>
      </c>
      <c r="Z32" s="35">
        <f t="shared" si="2"/>
        <v>5537</v>
      </c>
      <c r="AA32" s="35">
        <f>IF($G32="","",MAX(0,ROUND(IF(AND(OR($H32="Umowa o pracę",$H32="Umowa zlecenie"),$K32="Tak"),0,IF(AND($H32="Umowa zlecenie",$L32="Tak"),0,IF($H32="B2B",IF($O32="Liniowy",MAX(0,(Z32-MIN(X32,'Założenia 2026'!$B$8))*'Założenia 2026'!$B$7),IF($O32="Ryczałt",Z32*$P32,MAX(0,Z32*'Założenia 2026'!$B$4-'Założenia 2026'!$B$6/12))),MAX(0,Z32*'Założenia 2026'!$B$4-IF($I32="Tak",300,0))))),0)))</f>
        <v>364</v>
      </c>
      <c r="AB32" s="35">
        <f t="shared" si="3"/>
        <v>5934.77</v>
      </c>
      <c r="AC32" s="35">
        <f>IF($G32="","",ROUND(IF($H32="B2B",R32,IF(OR($H32="Umowa o pracę",AND($H32="Umowa zlecenie",$L32&lt;&gt;"Tak")),R32+R32*('Założenia 2026'!$B$13+'Założenia 2026'!$B$14+'Założenia 2026'!$B$15+'Założenia 2026'!$B$16+'Założenia 2026'!$B$17),R32)),2))</f>
        <v>9397.44</v>
      </c>
      <c r="AD32" s="34">
        <f t="shared" si="4"/>
        <v>0.36846949807607177</v>
      </c>
    </row>
    <row r="33" spans="1:30" x14ac:dyDescent="0.35">
      <c r="A33" s="28">
        <v>31</v>
      </c>
      <c r="B33" s="29"/>
      <c r="C33" s="29"/>
      <c r="D33" s="29"/>
      <c r="E33" s="30"/>
      <c r="F33" s="28" t="s">
        <v>247</v>
      </c>
      <c r="G33" s="31">
        <v>34300</v>
      </c>
      <c r="H33" s="28" t="s">
        <v>212</v>
      </c>
      <c r="I33" s="28" t="s">
        <v>214</v>
      </c>
      <c r="J33" s="32">
        <v>0</v>
      </c>
      <c r="K33" s="28" t="s">
        <v>214</v>
      </c>
      <c r="L33" s="28" t="s">
        <v>214</v>
      </c>
      <c r="M33" s="28" t="s">
        <v>214</v>
      </c>
      <c r="N33" s="28" t="s">
        <v>95</v>
      </c>
      <c r="O33" s="28"/>
      <c r="P33" s="33"/>
      <c r="Q33" s="28"/>
      <c r="R33" s="35">
        <f t="shared" si="0"/>
        <v>34300</v>
      </c>
      <c r="S33" s="35">
        <f>IF($G33="","",ROUND(IF($H33="B2B",IF($Q33="Duży",5652*19.52%,0),IF(OR($H33="Umowa o pracę",AND($H33="Umowa zlecenie",$L33&lt;&gt;"Tak")),R33*'Założenia 2026'!$B$9,0)),2))</f>
        <v>0</v>
      </c>
      <c r="T33" s="35">
        <f>IF($G33="","",ROUND(IF($H33="B2B",IF($Q33="Duży",5652*8%,0),IF(OR($H33="Umowa o pracę",AND($H33="Umowa zlecenie",$L33&lt;&gt;"Tak")),R33*'Założenia 2026'!$B$10,0)),2))</f>
        <v>0</v>
      </c>
      <c r="U33" s="35">
        <f>IF($G33="","",ROUND(IF($H33="B2B",IF(AND($Q33="Duży",$M33="Tak"),5652*2.45%,0),IF(OR($H33="Umowa o pracę",AND($H33="Umowa zlecenie",$L33&lt;&gt;"Tak",$M33="Tak")),R33*'Założenia 2026'!$B$11,0)),2))</f>
        <v>0</v>
      </c>
      <c r="V33" s="35">
        <f>IF($G33="","",ROUND(IF($H33="B2B",IF($Q33="Duży",IF($M33="Tak",'Założenia 2026'!$B$24,'Założenia 2026'!$B$23),0),S33+T33+U33),2))</f>
        <v>0</v>
      </c>
      <c r="W33" s="35">
        <f t="shared" si="1"/>
        <v>34300</v>
      </c>
      <c r="X33" s="35">
        <f>IF($G33="","",ROUND(IF($H33="B2B",IF($O33="Ryczałt",'Założenia 2026'!$B$27,MAX('Założenia 2026'!$B$22,IF($O33="Liniowy",W33*4.9%,W33*9%))),IF(OR($H33="Umowa o pracę",AND($H33="Umowa zlecenie",$L33&lt;&gt;"Tak")),W33*'Założenia 2026'!$B$12,0)),2))</f>
        <v>0</v>
      </c>
      <c r="Y33" s="35">
        <f>IF($G33="","",ROUND(IF($H33="Umowa o pracę",$J33,IF($H33="Umowa zlecenie",(R33-V33)*'Założenia 2026'!$B$32,IF($H33="Umowa o dzieło",R33*IF($N33="Tak",'Założenia 2026'!$B$33,'Założenia 2026'!$B$32),0))),2))</f>
        <v>17150</v>
      </c>
      <c r="Z33" s="35">
        <f t="shared" si="2"/>
        <v>17150</v>
      </c>
      <c r="AA33" s="35">
        <f>IF($G33="","",MAX(0,ROUND(IF(AND(OR($H33="Umowa o pracę",$H33="Umowa zlecenie"),$K33="Tak"),0,IF(AND($H33="Umowa zlecenie",$L33="Tak"),0,IF($H33="B2B",IF($O33="Liniowy",MAX(0,(Z33-MIN(X33,'Założenia 2026'!$B$8))*'Założenia 2026'!$B$7),IF($O33="Ryczałt",Z33*$P33,MAX(0,Z33*'Założenia 2026'!$B$4-'Założenia 2026'!$B$6/12))),MAX(0,Z33*'Założenia 2026'!$B$4-IF($I33="Tak",300,0))))),0)))</f>
        <v>2058</v>
      </c>
      <c r="AB33" s="35">
        <f t="shared" si="3"/>
        <v>32242</v>
      </c>
      <c r="AC33" s="35">
        <f>IF($G33="","",ROUND(IF($H33="B2B",R33,IF(OR($H33="Umowa o pracę",AND($H33="Umowa zlecenie",$L33&lt;&gt;"Tak")),R33+R33*('Założenia 2026'!$B$13+'Założenia 2026'!$B$14+'Założenia 2026'!$B$15+'Założenia 2026'!$B$16+'Założenia 2026'!$B$17),R33)),2))</f>
        <v>34300</v>
      </c>
      <c r="AD33" s="34">
        <f t="shared" si="4"/>
        <v>0.06</v>
      </c>
    </row>
    <row r="34" spans="1:30" x14ac:dyDescent="0.35">
      <c r="A34" s="28">
        <v>32</v>
      </c>
      <c r="B34" s="29"/>
      <c r="C34" s="29"/>
      <c r="D34" s="29"/>
      <c r="E34" s="30"/>
      <c r="F34" s="28" t="s">
        <v>247</v>
      </c>
      <c r="G34" s="31">
        <v>19800</v>
      </c>
      <c r="H34" s="28" t="s">
        <v>249</v>
      </c>
      <c r="I34" s="28" t="s">
        <v>214</v>
      </c>
      <c r="J34" s="32">
        <v>0</v>
      </c>
      <c r="K34" s="28" t="s">
        <v>214</v>
      </c>
      <c r="L34" s="28" t="s">
        <v>214</v>
      </c>
      <c r="M34" s="28" t="s">
        <v>214</v>
      </c>
      <c r="N34" s="28" t="s">
        <v>214</v>
      </c>
      <c r="O34" s="28" t="s">
        <v>251</v>
      </c>
      <c r="P34" s="33"/>
      <c r="Q34" s="28" t="s">
        <v>250</v>
      </c>
      <c r="R34" s="35">
        <f t="shared" si="0"/>
        <v>19800</v>
      </c>
      <c r="S34" s="35">
        <f>IF($G34="","",ROUND(IF($H34="B2B",IF($Q34="Duży",5652*19.52%,0),IF(OR($H34="Umowa o pracę",AND($H34="Umowa zlecenie",$L34&lt;&gt;"Tak")),R34*'Założenia 2026'!$B$9,0)),2))</f>
        <v>1103.27</v>
      </c>
      <c r="T34" s="35">
        <f>IF($G34="","",ROUND(IF($H34="B2B",IF($Q34="Duży",5652*8%,0),IF(OR($H34="Umowa o pracę",AND($H34="Umowa zlecenie",$L34&lt;&gt;"Tak")),R34*'Założenia 2026'!$B$10,0)),2))</f>
        <v>452.16</v>
      </c>
      <c r="U34" s="35">
        <f>IF($G34="","",ROUND(IF($H34="B2B",IF(AND($Q34="Duży",$M34="Tak"),5652*2.45%,0),IF(OR($H34="Umowa o pracę",AND($H34="Umowa zlecenie",$L34&lt;&gt;"Tak",$M34="Tak")),R34*'Założenia 2026'!$B$11,0)),2))</f>
        <v>0</v>
      </c>
      <c r="V34" s="35">
        <f>IF($G34="","",ROUND(IF($H34="B2B",IF($Q34="Duży",IF($M34="Tak",'Założenia 2026'!$B$24,'Założenia 2026'!$B$23),0),S34+T34+U34),2))</f>
        <v>1788.29</v>
      </c>
      <c r="W34" s="35">
        <f t="shared" si="1"/>
        <v>18011.71</v>
      </c>
      <c r="X34" s="35">
        <f>IF($G34="","",ROUND(IF($H34="B2B",IF($O34="Ryczałt",'Założenia 2026'!$B$27,MAX('Założenia 2026'!$B$22,IF($O34="Liniowy",W34*4.9%,W34*9%))),IF(OR($H34="Umowa o pracę",AND($H34="Umowa zlecenie",$L34&lt;&gt;"Tak")),W34*'Założenia 2026'!$B$12,0)),2))</f>
        <v>882.57</v>
      </c>
      <c r="Y34" s="35">
        <f>IF($G34="","",ROUND(IF($H34="Umowa o pracę",$J34,IF($H34="Umowa zlecenie",(R34-V34)*'Założenia 2026'!$B$32,IF($H34="Umowa o dzieło",R34*IF($N34="Tak",'Założenia 2026'!$B$33,'Założenia 2026'!$B$32),0))),2))</f>
        <v>0</v>
      </c>
      <c r="Z34" s="35">
        <f t="shared" si="2"/>
        <v>18012</v>
      </c>
      <c r="AA34" s="35">
        <f>IF($G34="","",MAX(0,ROUND(IF(AND(OR($H34="Umowa o pracę",$H34="Umowa zlecenie"),$K34="Tak"),0,IF(AND($H34="Umowa zlecenie",$L34="Tak"),0,IF($H34="B2B",IF($O34="Liniowy",MAX(0,(Z34-MIN(X34,'Założenia 2026'!$B$8))*'Założenia 2026'!$B$7),IF($O34="Ryczałt",Z34*$P34,MAX(0,Z34*'Założenia 2026'!$B$4-'Założenia 2026'!$B$6/12))),MAX(0,Z34*'Założenia 2026'!$B$4-IF($I34="Tak",300,0))))),0)))</f>
        <v>3255</v>
      </c>
      <c r="AB34" s="35">
        <f t="shared" si="3"/>
        <v>13874.14</v>
      </c>
      <c r="AC34" s="35">
        <f>IF($G34="","",ROUND(IF($H34="B2B",R34,IF(OR($H34="Umowa o pracę",AND($H34="Umowa zlecenie",$L34&lt;&gt;"Tak")),R34+R34*('Założenia 2026'!$B$13+'Założenia 2026'!$B$14+'Założenia 2026'!$B$15+'Założenia 2026'!$B$16+'Założenia 2026'!$B$17),R34)),2))</f>
        <v>19800</v>
      </c>
      <c r="AD34" s="34">
        <f t="shared" si="4"/>
        <v>0.2992858585858586</v>
      </c>
    </row>
    <row r="35" spans="1:30" x14ac:dyDescent="0.35">
      <c r="A35" s="28">
        <v>33</v>
      </c>
      <c r="B35" s="29"/>
      <c r="C35" s="29"/>
      <c r="D35" s="29"/>
      <c r="E35" s="30"/>
      <c r="F35" s="28" t="s">
        <v>247</v>
      </c>
      <c r="G35" s="31">
        <v>7800</v>
      </c>
      <c r="H35" s="28" t="s">
        <v>248</v>
      </c>
      <c r="I35" s="28" t="s">
        <v>95</v>
      </c>
      <c r="J35" s="32">
        <v>250</v>
      </c>
      <c r="K35" s="28" t="s">
        <v>214</v>
      </c>
      <c r="L35" s="28" t="s">
        <v>214</v>
      </c>
      <c r="M35" s="28" t="s">
        <v>214</v>
      </c>
      <c r="N35" s="28" t="s">
        <v>214</v>
      </c>
      <c r="O35" s="28"/>
      <c r="P35" s="33"/>
      <c r="Q35" s="28"/>
      <c r="R35" s="35">
        <f t="shared" si="0"/>
        <v>7800</v>
      </c>
      <c r="S35" s="35">
        <f>IF($G35="","",ROUND(IF($H35="B2B",IF($Q35="Duży",5652*19.52%,0),IF(OR($H35="Umowa o pracę",AND($H35="Umowa zlecenie",$L35&lt;&gt;"Tak")),R35*'Założenia 2026'!$B$9,0)),2))</f>
        <v>761.28</v>
      </c>
      <c r="T35" s="35">
        <f>IF($G35="","",ROUND(IF($H35="B2B",IF($Q35="Duży",5652*8%,0),IF(OR($H35="Umowa o pracę",AND($H35="Umowa zlecenie",$L35&lt;&gt;"Tak")),R35*'Założenia 2026'!$B$10,0)),2))</f>
        <v>117</v>
      </c>
      <c r="U35" s="35">
        <f>IF($G35="","",ROUND(IF($H35="B2B",IF(AND($Q35="Duży",$M35="Tak"),5652*2.45%,0),IF(OR($H35="Umowa o pracę",AND($H35="Umowa zlecenie",$L35&lt;&gt;"Tak",$M35="Tak")),R35*'Założenia 2026'!$B$11,0)),2))</f>
        <v>191.1</v>
      </c>
      <c r="V35" s="35">
        <f>IF($G35="","",ROUND(IF($H35="B2B",IF($Q35="Duży",IF($M35="Tak",'Założenia 2026'!$B$24,'Założenia 2026'!$B$23),0),S35+T35+U35),2))</f>
        <v>1069.3800000000001</v>
      </c>
      <c r="W35" s="35">
        <f t="shared" si="1"/>
        <v>6730.62</v>
      </c>
      <c r="X35" s="35">
        <f>IF($G35="","",ROUND(IF($H35="B2B",IF($O35="Ryczałt",'Założenia 2026'!$B$27,MAX('Założenia 2026'!$B$22,IF($O35="Liniowy",W35*4.9%,W35*9%))),IF(OR($H35="Umowa o pracę",AND($H35="Umowa zlecenie",$L35&lt;&gt;"Tak")),W35*'Założenia 2026'!$B$12,0)),2))</f>
        <v>605.76</v>
      </c>
      <c r="Y35" s="35">
        <f>IF($G35="","",ROUND(IF($H35="Umowa o pracę",$J35,IF($H35="Umowa zlecenie",(R35-V35)*'Założenia 2026'!$B$32,IF($H35="Umowa o dzieło",R35*IF($N35="Tak",'Założenia 2026'!$B$33,'Założenia 2026'!$B$32),0))),2))</f>
        <v>250</v>
      </c>
      <c r="Z35" s="35">
        <f t="shared" si="2"/>
        <v>6481</v>
      </c>
      <c r="AA35" s="35">
        <f>IF($G35="","",MAX(0,ROUND(IF(AND(OR($H35="Umowa o pracę",$H35="Umowa zlecenie"),$K35="Tak"),0,IF(AND($H35="Umowa zlecenie",$L35="Tak"),0,IF($H35="B2B",IF($O35="Liniowy",MAX(0,(Z35-MIN(X35,'Założenia 2026'!$B$8))*'Założenia 2026'!$B$7),IF($O35="Ryczałt",Z35*$P35,MAX(0,Z35*'Założenia 2026'!$B$4-'Założenia 2026'!$B$6/12))),MAX(0,Z35*'Założenia 2026'!$B$4-IF($I35="Tak",300,0))))),0)))</f>
        <v>478</v>
      </c>
      <c r="AB35" s="35">
        <f t="shared" si="3"/>
        <v>5646.86</v>
      </c>
      <c r="AC35" s="35">
        <f>IF($G35="","",ROUND(IF($H35="B2B",R35,IF(OR($H35="Umowa o pracę",AND($H35="Umowa zlecenie",$L35&lt;&gt;"Tak")),R35+R35*('Założenia 2026'!$B$13+'Założenia 2026'!$B$14+'Założenia 2026'!$B$15+'Założenia 2026'!$B$16+'Założenia 2026'!$B$17),R35)),2))</f>
        <v>9397.44</v>
      </c>
      <c r="AD35" s="34">
        <f t="shared" si="4"/>
        <v>0.39910656519222265</v>
      </c>
    </row>
    <row r="36" spans="1:30" x14ac:dyDescent="0.35">
      <c r="A36" s="28">
        <v>34</v>
      </c>
      <c r="B36" s="29"/>
      <c r="C36" s="29"/>
      <c r="D36" s="29"/>
      <c r="E36" s="30"/>
      <c r="F36" s="28" t="s">
        <v>247</v>
      </c>
      <c r="G36" s="31">
        <v>8200</v>
      </c>
      <c r="H36" s="28" t="s">
        <v>211</v>
      </c>
      <c r="I36" s="28" t="s">
        <v>95</v>
      </c>
      <c r="J36" s="32">
        <v>0</v>
      </c>
      <c r="K36" s="28" t="s">
        <v>214</v>
      </c>
      <c r="L36" s="28" t="s">
        <v>214</v>
      </c>
      <c r="M36" s="28" t="s">
        <v>95</v>
      </c>
      <c r="N36" s="28" t="s">
        <v>214</v>
      </c>
      <c r="O36" s="28"/>
      <c r="P36" s="33"/>
      <c r="Q36" s="28"/>
      <c r="R36" s="35">
        <f t="shared" si="0"/>
        <v>8200</v>
      </c>
      <c r="S36" s="35">
        <f>IF($G36="","",ROUND(IF($H36="B2B",IF($Q36="Duży",5652*19.52%,0),IF(OR($H36="Umowa o pracę",AND($H36="Umowa zlecenie",$L36&lt;&gt;"Tak")),R36*'Założenia 2026'!$B$9,0)),2))</f>
        <v>800.32</v>
      </c>
      <c r="T36" s="35">
        <f>IF($G36="","",ROUND(IF($H36="B2B",IF($Q36="Duży",5652*8%,0),IF(OR($H36="Umowa o pracę",AND($H36="Umowa zlecenie",$L36&lt;&gt;"Tak")),R36*'Założenia 2026'!$B$10,0)),2))</f>
        <v>123</v>
      </c>
      <c r="U36" s="35">
        <f>IF($G36="","",ROUND(IF($H36="B2B",IF(AND($Q36="Duży",$M36="Tak"),5652*2.45%,0),IF(OR($H36="Umowa o pracę",AND($H36="Umowa zlecenie",$L36&lt;&gt;"Tak",$M36="Tak")),R36*'Założenia 2026'!$B$11,0)),2))</f>
        <v>200.9</v>
      </c>
      <c r="V36" s="35">
        <f>IF($G36="","",ROUND(IF($H36="B2B",IF($Q36="Duży",IF($M36="Tak",'Założenia 2026'!$B$24,'Założenia 2026'!$B$23),0),S36+T36+U36),2))</f>
        <v>1124.22</v>
      </c>
      <c r="W36" s="35">
        <f t="shared" si="1"/>
        <v>7075.78</v>
      </c>
      <c r="X36" s="35">
        <f>IF($G36="","",ROUND(IF($H36="B2B",IF($O36="Ryczałt",'Założenia 2026'!$B$27,MAX('Założenia 2026'!$B$22,IF($O36="Liniowy",W36*4.9%,W36*9%))),IF(OR($H36="Umowa o pracę",AND($H36="Umowa zlecenie",$L36&lt;&gt;"Tak")),W36*'Założenia 2026'!$B$12,0)),2))</f>
        <v>636.82000000000005</v>
      </c>
      <c r="Y36" s="35">
        <f>IF($G36="","",ROUND(IF($H36="Umowa o pracę",$J36,IF($H36="Umowa zlecenie",(R36-V36)*'Założenia 2026'!$B$32,IF($H36="Umowa o dzieło",R36*IF($N36="Tak",'Założenia 2026'!$B$33,'Założenia 2026'!$B$32),0))),2))</f>
        <v>1415.16</v>
      </c>
      <c r="Z36" s="35">
        <f t="shared" si="2"/>
        <v>5661</v>
      </c>
      <c r="AA36" s="35">
        <f>IF($G36="","",MAX(0,ROUND(IF(AND(OR($H36="Umowa o pracę",$H36="Umowa zlecenie"),$K36="Tak"),0,IF(AND($H36="Umowa zlecenie",$L36="Tak"),0,IF($H36="B2B",IF($O36="Liniowy",MAX(0,(Z36-MIN(X36,'Założenia 2026'!$B$8))*'Założenia 2026'!$B$7),IF($O36="Ryczałt",Z36*$P36,MAX(0,Z36*'Założenia 2026'!$B$4-'Założenia 2026'!$B$6/12))),MAX(0,Z36*'Założenia 2026'!$B$4-IF($I36="Tak",300,0))))),0)))</f>
        <v>379</v>
      </c>
      <c r="AB36" s="35">
        <f t="shared" si="3"/>
        <v>6059.96</v>
      </c>
      <c r="AC36" s="35">
        <f>IF($G36="","",ROUND(IF($H36="B2B",R36,IF(OR($H36="Umowa o pracę",AND($H36="Umowa zlecenie",$L36&lt;&gt;"Tak")),R36+R36*('Założenia 2026'!$B$13+'Założenia 2026'!$B$14+'Założenia 2026'!$B$15+'Założenia 2026'!$B$16+'Założenia 2026'!$B$17),R36)),2))</f>
        <v>9879.36</v>
      </c>
      <c r="AD36" s="34">
        <f t="shared" si="4"/>
        <v>0.38660399054189748</v>
      </c>
    </row>
    <row r="37" spans="1:30" x14ac:dyDescent="0.35">
      <c r="A37" s="28">
        <v>35</v>
      </c>
      <c r="B37" s="29"/>
      <c r="C37" s="29"/>
      <c r="D37" s="29"/>
      <c r="E37" s="30"/>
      <c r="F37" s="28" t="s">
        <v>247</v>
      </c>
      <c r="G37" s="31">
        <v>10600</v>
      </c>
      <c r="H37" s="28" t="s">
        <v>212</v>
      </c>
      <c r="I37" s="28" t="s">
        <v>214</v>
      </c>
      <c r="J37" s="32">
        <v>0</v>
      </c>
      <c r="K37" s="28" t="s">
        <v>214</v>
      </c>
      <c r="L37" s="28" t="s">
        <v>214</v>
      </c>
      <c r="M37" s="28" t="s">
        <v>214</v>
      </c>
      <c r="N37" s="28" t="s">
        <v>95</v>
      </c>
      <c r="O37" s="28"/>
      <c r="P37" s="33"/>
      <c r="Q37" s="28"/>
      <c r="R37" s="35">
        <f t="shared" si="0"/>
        <v>10600</v>
      </c>
      <c r="S37" s="35">
        <f>IF($G37="","",ROUND(IF($H37="B2B",IF($Q37="Duży",5652*19.52%,0),IF(OR($H37="Umowa o pracę",AND($H37="Umowa zlecenie",$L37&lt;&gt;"Tak")),R37*'Założenia 2026'!$B$9,0)),2))</f>
        <v>0</v>
      </c>
      <c r="T37" s="35">
        <f>IF($G37="","",ROUND(IF($H37="B2B",IF($Q37="Duży",5652*8%,0),IF(OR($H37="Umowa o pracę",AND($H37="Umowa zlecenie",$L37&lt;&gt;"Tak")),R37*'Założenia 2026'!$B$10,0)),2))</f>
        <v>0</v>
      </c>
      <c r="U37" s="35">
        <f>IF($G37="","",ROUND(IF($H37="B2B",IF(AND($Q37="Duży",$M37="Tak"),5652*2.45%,0),IF(OR($H37="Umowa o pracę",AND($H37="Umowa zlecenie",$L37&lt;&gt;"Tak",$M37="Tak")),R37*'Założenia 2026'!$B$11,0)),2))</f>
        <v>0</v>
      </c>
      <c r="V37" s="35">
        <f>IF($G37="","",ROUND(IF($H37="B2B",IF($Q37="Duży",IF($M37="Tak",'Założenia 2026'!$B$24,'Założenia 2026'!$B$23),0),S37+T37+U37),2))</f>
        <v>0</v>
      </c>
      <c r="W37" s="35">
        <f t="shared" si="1"/>
        <v>10600</v>
      </c>
      <c r="X37" s="35">
        <f>IF($G37="","",ROUND(IF($H37="B2B",IF($O37="Ryczałt",'Założenia 2026'!$B$27,MAX('Założenia 2026'!$B$22,IF($O37="Liniowy",W37*4.9%,W37*9%))),IF(OR($H37="Umowa o pracę",AND($H37="Umowa zlecenie",$L37&lt;&gt;"Tak")),W37*'Założenia 2026'!$B$12,0)),2))</f>
        <v>0</v>
      </c>
      <c r="Y37" s="35">
        <f>IF($G37="","",ROUND(IF($H37="Umowa o pracę",$J37,IF($H37="Umowa zlecenie",(R37-V37)*'Założenia 2026'!$B$32,IF($H37="Umowa o dzieło",R37*IF($N37="Tak",'Założenia 2026'!$B$33,'Założenia 2026'!$B$32),0))),2))</f>
        <v>5300</v>
      </c>
      <c r="Z37" s="35">
        <f t="shared" si="2"/>
        <v>5300</v>
      </c>
      <c r="AA37" s="35">
        <f>IF($G37="","",MAX(0,ROUND(IF(AND(OR($H37="Umowa o pracę",$H37="Umowa zlecenie"),$K37="Tak"),0,IF(AND($H37="Umowa zlecenie",$L37="Tak"),0,IF($H37="B2B",IF($O37="Liniowy",MAX(0,(Z37-MIN(X37,'Założenia 2026'!$B$8))*'Założenia 2026'!$B$7),IF($O37="Ryczałt",Z37*$P37,MAX(0,Z37*'Założenia 2026'!$B$4-'Założenia 2026'!$B$6/12))),MAX(0,Z37*'Założenia 2026'!$B$4-IF($I37="Tak",300,0))))),0)))</f>
        <v>636</v>
      </c>
      <c r="AB37" s="35">
        <f t="shared" si="3"/>
        <v>9964</v>
      </c>
      <c r="AC37" s="35">
        <f>IF($G37="","",ROUND(IF($H37="B2B",R37,IF(OR($H37="Umowa o pracę",AND($H37="Umowa zlecenie",$L37&lt;&gt;"Tak")),R37+R37*('Założenia 2026'!$B$13+'Założenia 2026'!$B$14+'Założenia 2026'!$B$15+'Założenia 2026'!$B$16+'Założenia 2026'!$B$17),R37)),2))</f>
        <v>10600</v>
      </c>
      <c r="AD37" s="34">
        <f t="shared" si="4"/>
        <v>0.06</v>
      </c>
    </row>
    <row r="38" spans="1:30" x14ac:dyDescent="0.35">
      <c r="A38" s="28">
        <v>36</v>
      </c>
      <c r="B38" s="29"/>
      <c r="C38" s="29"/>
      <c r="D38" s="29"/>
      <c r="E38" s="30"/>
      <c r="F38" s="28" t="s">
        <v>247</v>
      </c>
      <c r="G38" s="31">
        <v>14000</v>
      </c>
      <c r="H38" s="28" t="s">
        <v>249</v>
      </c>
      <c r="I38" s="28" t="s">
        <v>214</v>
      </c>
      <c r="J38" s="32">
        <v>0</v>
      </c>
      <c r="K38" s="28" t="s">
        <v>214</v>
      </c>
      <c r="L38" s="28" t="s">
        <v>214</v>
      </c>
      <c r="M38" s="28" t="s">
        <v>214</v>
      </c>
      <c r="N38" s="28" t="s">
        <v>214</v>
      </c>
      <c r="O38" s="28" t="s">
        <v>252</v>
      </c>
      <c r="P38" s="33"/>
      <c r="Q38" s="28" t="s">
        <v>250</v>
      </c>
      <c r="R38" s="35">
        <f t="shared" si="0"/>
        <v>14000</v>
      </c>
      <c r="S38" s="35">
        <f>IF($G38="","",ROUND(IF($H38="B2B",IF($Q38="Duży",5652*19.52%,0),IF(OR($H38="Umowa o pracę",AND($H38="Umowa zlecenie",$L38&lt;&gt;"Tak")),R38*'Założenia 2026'!$B$9,0)),2))</f>
        <v>1103.27</v>
      </c>
      <c r="T38" s="35">
        <f>IF($G38="","",ROUND(IF($H38="B2B",IF($Q38="Duży",5652*8%,0),IF(OR($H38="Umowa o pracę",AND($H38="Umowa zlecenie",$L38&lt;&gt;"Tak")),R38*'Założenia 2026'!$B$10,0)),2))</f>
        <v>452.16</v>
      </c>
      <c r="U38" s="35">
        <f>IF($G38="","",ROUND(IF($H38="B2B",IF(AND($Q38="Duży",$M38="Tak"),5652*2.45%,0),IF(OR($H38="Umowa o pracę",AND($H38="Umowa zlecenie",$L38&lt;&gt;"Tak",$M38="Tak")),R38*'Założenia 2026'!$B$11,0)),2))</f>
        <v>0</v>
      </c>
      <c r="V38" s="35">
        <f>IF($G38="","",ROUND(IF($H38="B2B",IF($Q38="Duży",IF($M38="Tak",'Założenia 2026'!$B$24,'Założenia 2026'!$B$23),0),S38+T38+U38),2))</f>
        <v>1788.29</v>
      </c>
      <c r="W38" s="35">
        <f t="shared" si="1"/>
        <v>12211.71</v>
      </c>
      <c r="X38" s="35">
        <f>IF($G38="","",ROUND(IF($H38="B2B",IF($O38="Ryczałt",'Założenia 2026'!$B$27,MAX('Założenia 2026'!$B$22,IF($O38="Liniowy",W38*4.9%,W38*9%))),IF(OR($H38="Umowa o pracę",AND($H38="Umowa zlecenie",$L38&lt;&gt;"Tak")),W38*'Założenia 2026'!$B$12,0)),2))</f>
        <v>1099.05</v>
      </c>
      <c r="Y38" s="35">
        <f>IF($G38="","",ROUND(IF($H38="Umowa o pracę",$J38,IF($H38="Umowa zlecenie",(R38-V38)*'Założenia 2026'!$B$32,IF($H38="Umowa o dzieło",R38*IF($N38="Tak",'Założenia 2026'!$B$33,'Założenia 2026'!$B$32),0))),2))</f>
        <v>0</v>
      </c>
      <c r="Z38" s="35">
        <f t="shared" si="2"/>
        <v>12212</v>
      </c>
      <c r="AA38" s="35">
        <f>IF($G38="","",MAX(0,ROUND(IF(AND(OR($H38="Umowa o pracę",$H38="Umowa zlecenie"),$K38="Tak"),0,IF(AND($H38="Umowa zlecenie",$L38="Tak"),0,IF($H38="B2B",IF($O38="Liniowy",MAX(0,(Z38-MIN(X38,'Założenia 2026'!$B$8))*'Założenia 2026'!$B$7),IF($O38="Ryczałt",Z38*$P38,MAX(0,Z38*'Założenia 2026'!$B$4-'Założenia 2026'!$B$6/12))),MAX(0,Z38*'Założenia 2026'!$B$4-IF($I38="Tak",300,0))))),0)))</f>
        <v>1165</v>
      </c>
      <c r="AB38" s="35">
        <f t="shared" si="3"/>
        <v>9947.66</v>
      </c>
      <c r="AC38" s="35">
        <f>IF($G38="","",ROUND(IF($H38="B2B",R38,IF(OR($H38="Umowa o pracę",AND($H38="Umowa zlecenie",$L38&lt;&gt;"Tak")),R38+R38*('Założenia 2026'!$B$13+'Założenia 2026'!$B$14+'Założenia 2026'!$B$15+'Założenia 2026'!$B$16+'Założenia 2026'!$B$17),R38)),2))</f>
        <v>14000</v>
      </c>
      <c r="AD38" s="34">
        <f t="shared" si="4"/>
        <v>0.28945285714285718</v>
      </c>
    </row>
    <row r="39" spans="1:30" x14ac:dyDescent="0.35">
      <c r="A39" s="28">
        <v>37</v>
      </c>
      <c r="B39" s="29"/>
      <c r="C39" s="29"/>
      <c r="D39" s="29"/>
      <c r="E39" s="30"/>
      <c r="F39" s="28" t="s">
        <v>247</v>
      </c>
      <c r="G39" s="31">
        <v>5700</v>
      </c>
      <c r="H39" s="28" t="s">
        <v>248</v>
      </c>
      <c r="I39" s="28" t="s">
        <v>95</v>
      </c>
      <c r="J39" s="32">
        <v>250</v>
      </c>
      <c r="K39" s="28" t="s">
        <v>95</v>
      </c>
      <c r="L39" s="28" t="s">
        <v>214</v>
      </c>
      <c r="M39" s="28" t="s">
        <v>214</v>
      </c>
      <c r="N39" s="28" t="s">
        <v>214</v>
      </c>
      <c r="O39" s="28"/>
      <c r="P39" s="33"/>
      <c r="Q39" s="28"/>
      <c r="R39" s="35">
        <f t="shared" si="0"/>
        <v>5700</v>
      </c>
      <c r="S39" s="35">
        <f>IF($G39="","",ROUND(IF($H39="B2B",IF($Q39="Duży",5652*19.52%,0),IF(OR($H39="Umowa o pracę",AND($H39="Umowa zlecenie",$L39&lt;&gt;"Tak")),R39*'Założenia 2026'!$B$9,0)),2))</f>
        <v>556.32000000000005</v>
      </c>
      <c r="T39" s="35">
        <f>IF($G39="","",ROUND(IF($H39="B2B",IF($Q39="Duży",5652*8%,0),IF(OR($H39="Umowa o pracę",AND($H39="Umowa zlecenie",$L39&lt;&gt;"Tak")),R39*'Założenia 2026'!$B$10,0)),2))</f>
        <v>85.5</v>
      </c>
      <c r="U39" s="35">
        <f>IF($G39="","",ROUND(IF($H39="B2B",IF(AND($Q39="Duży",$M39="Tak"),5652*2.45%,0),IF(OR($H39="Umowa o pracę",AND($H39="Umowa zlecenie",$L39&lt;&gt;"Tak",$M39="Tak")),R39*'Założenia 2026'!$B$11,0)),2))</f>
        <v>139.65</v>
      </c>
      <c r="V39" s="35">
        <f>IF($G39="","",ROUND(IF($H39="B2B",IF($Q39="Duży",IF($M39="Tak",'Założenia 2026'!$B$24,'Założenia 2026'!$B$23),0),S39+T39+U39),2))</f>
        <v>781.47</v>
      </c>
      <c r="W39" s="35">
        <f t="shared" si="1"/>
        <v>4918.53</v>
      </c>
      <c r="X39" s="35">
        <f>IF($G39="","",ROUND(IF($H39="B2B",IF($O39="Ryczałt",'Założenia 2026'!$B$27,MAX('Założenia 2026'!$B$22,IF($O39="Liniowy",W39*4.9%,W39*9%))),IF(OR($H39="Umowa o pracę",AND($H39="Umowa zlecenie",$L39&lt;&gt;"Tak")),W39*'Założenia 2026'!$B$12,0)),2))</f>
        <v>442.67</v>
      </c>
      <c r="Y39" s="35">
        <f>IF($G39="","",ROUND(IF($H39="Umowa o pracę",$J39,IF($H39="Umowa zlecenie",(R39-V39)*'Założenia 2026'!$B$32,IF($H39="Umowa o dzieło",R39*IF($N39="Tak",'Założenia 2026'!$B$33,'Założenia 2026'!$B$32),0))),2))</f>
        <v>250</v>
      </c>
      <c r="Z39" s="35">
        <f t="shared" si="2"/>
        <v>4669</v>
      </c>
      <c r="AA39" s="35">
        <f>IF($G39="","",MAX(0,ROUND(IF(AND(OR($H39="Umowa o pracę",$H39="Umowa zlecenie"),$K39="Tak"),0,IF(AND($H39="Umowa zlecenie",$L39="Tak"),0,IF($H39="B2B",IF($O39="Liniowy",MAX(0,(Z39-MIN(X39,'Założenia 2026'!$B$8))*'Założenia 2026'!$B$7),IF($O39="Ryczałt",Z39*$P39,MAX(0,Z39*'Założenia 2026'!$B$4-'Założenia 2026'!$B$6/12))),MAX(0,Z39*'Założenia 2026'!$B$4-IF($I39="Tak",300,0))))),0)))</f>
        <v>0</v>
      </c>
      <c r="AB39" s="35">
        <f t="shared" si="3"/>
        <v>4475.8599999999997</v>
      </c>
      <c r="AC39" s="35">
        <f>IF($G39="","",ROUND(IF($H39="B2B",R39,IF(OR($H39="Umowa o pracę",AND($H39="Umowa zlecenie",$L39&lt;&gt;"Tak")),R39+R39*('Założenia 2026'!$B$13+'Założenia 2026'!$B$14+'Założenia 2026'!$B$15+'Założenia 2026'!$B$16+'Założenia 2026'!$B$17),R39)),2))</f>
        <v>6867.36</v>
      </c>
      <c r="AD39" s="34">
        <f t="shared" si="4"/>
        <v>0.34824153677686914</v>
      </c>
    </row>
    <row r="40" spans="1:30" x14ac:dyDescent="0.35">
      <c r="A40" s="28">
        <v>38</v>
      </c>
      <c r="B40" s="29"/>
      <c r="C40" s="29"/>
      <c r="D40" s="29"/>
      <c r="E40" s="30"/>
      <c r="F40" s="28" t="s">
        <v>247</v>
      </c>
      <c r="G40" s="31">
        <v>6400</v>
      </c>
      <c r="H40" s="28" t="s">
        <v>211</v>
      </c>
      <c r="I40" s="28" t="s">
        <v>95</v>
      </c>
      <c r="J40" s="32">
        <v>0</v>
      </c>
      <c r="K40" s="28" t="s">
        <v>214</v>
      </c>
      <c r="L40" s="28" t="s">
        <v>214</v>
      </c>
      <c r="M40" s="28" t="s">
        <v>214</v>
      </c>
      <c r="N40" s="28" t="s">
        <v>214</v>
      </c>
      <c r="O40" s="28"/>
      <c r="P40" s="33"/>
      <c r="Q40" s="28"/>
      <c r="R40" s="35">
        <f t="shared" si="0"/>
        <v>6400</v>
      </c>
      <c r="S40" s="35">
        <f>IF($G40="","",ROUND(IF($H40="B2B",IF($Q40="Duży",5652*19.52%,0),IF(OR($H40="Umowa o pracę",AND($H40="Umowa zlecenie",$L40&lt;&gt;"Tak")),R40*'Założenia 2026'!$B$9,0)),2))</f>
        <v>624.64</v>
      </c>
      <c r="T40" s="35">
        <f>IF($G40="","",ROUND(IF($H40="B2B",IF($Q40="Duży",5652*8%,0),IF(OR($H40="Umowa o pracę",AND($H40="Umowa zlecenie",$L40&lt;&gt;"Tak")),R40*'Założenia 2026'!$B$10,0)),2))</f>
        <v>96</v>
      </c>
      <c r="U40" s="35">
        <f>IF($G40="","",ROUND(IF($H40="B2B",IF(AND($Q40="Duży",$M40="Tak"),5652*2.45%,0),IF(OR($H40="Umowa o pracę",AND($H40="Umowa zlecenie",$L40&lt;&gt;"Tak",$M40="Tak")),R40*'Założenia 2026'!$B$11,0)),2))</f>
        <v>0</v>
      </c>
      <c r="V40" s="35">
        <f>IF($G40="","",ROUND(IF($H40="B2B",IF($Q40="Duży",IF($M40="Tak",'Założenia 2026'!$B$24,'Założenia 2026'!$B$23),0),S40+T40+U40),2))</f>
        <v>720.64</v>
      </c>
      <c r="W40" s="35">
        <f t="shared" si="1"/>
        <v>5679.36</v>
      </c>
      <c r="X40" s="35">
        <f>IF($G40="","",ROUND(IF($H40="B2B",IF($O40="Ryczałt",'Założenia 2026'!$B$27,MAX('Założenia 2026'!$B$22,IF($O40="Liniowy",W40*4.9%,W40*9%))),IF(OR($H40="Umowa o pracę",AND($H40="Umowa zlecenie",$L40&lt;&gt;"Tak")),W40*'Założenia 2026'!$B$12,0)),2))</f>
        <v>511.14</v>
      </c>
      <c r="Y40" s="35">
        <f>IF($G40="","",ROUND(IF($H40="Umowa o pracę",$J40,IF($H40="Umowa zlecenie",(R40-V40)*'Założenia 2026'!$B$32,IF($H40="Umowa o dzieło",R40*IF($N40="Tak",'Założenia 2026'!$B$33,'Założenia 2026'!$B$32),0))),2))</f>
        <v>1135.8699999999999</v>
      </c>
      <c r="Z40" s="35">
        <f t="shared" si="2"/>
        <v>4543</v>
      </c>
      <c r="AA40" s="35">
        <f>IF($G40="","",MAX(0,ROUND(IF(AND(OR($H40="Umowa o pracę",$H40="Umowa zlecenie"),$K40="Tak"),0,IF(AND($H40="Umowa zlecenie",$L40="Tak"),0,IF($H40="B2B",IF($O40="Liniowy",MAX(0,(Z40-MIN(X40,'Założenia 2026'!$B$8))*'Założenia 2026'!$B$7),IF($O40="Ryczałt",Z40*$P40,MAX(0,Z40*'Założenia 2026'!$B$4-'Założenia 2026'!$B$6/12))),MAX(0,Z40*'Założenia 2026'!$B$4-IF($I40="Tak",300,0))))),0)))</f>
        <v>245</v>
      </c>
      <c r="AB40" s="35">
        <f t="shared" si="3"/>
        <v>4923.22</v>
      </c>
      <c r="AC40" s="35">
        <f>IF($G40="","",ROUND(IF($H40="B2B",R40,IF(OR($H40="Umowa o pracę",AND($H40="Umowa zlecenie",$L40&lt;&gt;"Tak")),R40+R40*('Założenia 2026'!$B$13+'Założenia 2026'!$B$14+'Założenia 2026'!$B$15+'Założenia 2026'!$B$16+'Założenia 2026'!$B$17),R40)),2))</f>
        <v>7710.72</v>
      </c>
      <c r="AD40" s="34">
        <f t="shared" si="4"/>
        <v>0.36150969040504649</v>
      </c>
    </row>
    <row r="41" spans="1:30" x14ac:dyDescent="0.35">
      <c r="A41" s="28">
        <v>39</v>
      </c>
      <c r="B41" s="29"/>
      <c r="C41" s="29"/>
      <c r="D41" s="29"/>
      <c r="E41" s="30"/>
      <c r="F41" s="28" t="s">
        <v>247</v>
      </c>
      <c r="G41" s="31">
        <v>8500</v>
      </c>
      <c r="H41" s="28" t="s">
        <v>212</v>
      </c>
      <c r="I41" s="28" t="s">
        <v>214</v>
      </c>
      <c r="J41" s="32">
        <v>0</v>
      </c>
      <c r="K41" s="28" t="s">
        <v>214</v>
      </c>
      <c r="L41" s="28" t="s">
        <v>214</v>
      </c>
      <c r="M41" s="28" t="s">
        <v>214</v>
      </c>
      <c r="N41" s="28" t="s">
        <v>95</v>
      </c>
      <c r="O41" s="28"/>
      <c r="P41" s="33"/>
      <c r="Q41" s="28"/>
      <c r="R41" s="35">
        <f t="shared" si="0"/>
        <v>8500</v>
      </c>
      <c r="S41" s="35">
        <f>IF($G41="","",ROUND(IF($H41="B2B",IF($Q41="Duży",5652*19.52%,0),IF(OR($H41="Umowa o pracę",AND($H41="Umowa zlecenie",$L41&lt;&gt;"Tak")),R41*'Założenia 2026'!$B$9,0)),2))</f>
        <v>0</v>
      </c>
      <c r="T41" s="35">
        <f>IF($G41="","",ROUND(IF($H41="B2B",IF($Q41="Duży",5652*8%,0),IF(OR($H41="Umowa o pracę",AND($H41="Umowa zlecenie",$L41&lt;&gt;"Tak")),R41*'Założenia 2026'!$B$10,0)),2))</f>
        <v>0</v>
      </c>
      <c r="U41" s="35">
        <f>IF($G41="","",ROUND(IF($H41="B2B",IF(AND($Q41="Duży",$M41="Tak"),5652*2.45%,0),IF(OR($H41="Umowa o pracę",AND($H41="Umowa zlecenie",$L41&lt;&gt;"Tak",$M41="Tak")),R41*'Założenia 2026'!$B$11,0)),2))</f>
        <v>0</v>
      </c>
      <c r="V41" s="35">
        <f>IF($G41="","",ROUND(IF($H41="B2B",IF($Q41="Duży",IF($M41="Tak",'Założenia 2026'!$B$24,'Założenia 2026'!$B$23),0),S41+T41+U41),2))</f>
        <v>0</v>
      </c>
      <c r="W41" s="35">
        <f t="shared" si="1"/>
        <v>8500</v>
      </c>
      <c r="X41" s="35">
        <f>IF($G41="","",ROUND(IF($H41="B2B",IF($O41="Ryczałt",'Założenia 2026'!$B$27,MAX('Założenia 2026'!$B$22,IF($O41="Liniowy",W41*4.9%,W41*9%))),IF(OR($H41="Umowa o pracę",AND($H41="Umowa zlecenie",$L41&lt;&gt;"Tak")),W41*'Założenia 2026'!$B$12,0)),2))</f>
        <v>0</v>
      </c>
      <c r="Y41" s="35">
        <f>IF($G41="","",ROUND(IF($H41="Umowa o pracę",$J41,IF($H41="Umowa zlecenie",(R41-V41)*'Założenia 2026'!$B$32,IF($H41="Umowa o dzieło",R41*IF($N41="Tak",'Założenia 2026'!$B$33,'Założenia 2026'!$B$32),0))),2))</f>
        <v>4250</v>
      </c>
      <c r="Z41" s="35">
        <f t="shared" si="2"/>
        <v>4250</v>
      </c>
      <c r="AA41" s="35">
        <f>IF($G41="","",MAX(0,ROUND(IF(AND(OR($H41="Umowa o pracę",$H41="Umowa zlecenie"),$K41="Tak"),0,IF(AND($H41="Umowa zlecenie",$L41="Tak"),0,IF($H41="B2B",IF($O41="Liniowy",MAX(0,(Z41-MIN(X41,'Założenia 2026'!$B$8))*'Założenia 2026'!$B$7),IF($O41="Ryczałt",Z41*$P41,MAX(0,Z41*'Założenia 2026'!$B$4-'Założenia 2026'!$B$6/12))),MAX(0,Z41*'Założenia 2026'!$B$4-IF($I41="Tak",300,0))))),0)))</f>
        <v>510</v>
      </c>
      <c r="AB41" s="35">
        <f t="shared" si="3"/>
        <v>7990</v>
      </c>
      <c r="AC41" s="35">
        <f>IF($G41="","",ROUND(IF($H41="B2B",R41,IF(OR($H41="Umowa o pracę",AND($H41="Umowa zlecenie",$L41&lt;&gt;"Tak")),R41+R41*('Założenia 2026'!$B$13+'Założenia 2026'!$B$14+'Założenia 2026'!$B$15+'Założenia 2026'!$B$16+'Założenia 2026'!$B$17),R41)),2))</f>
        <v>8500</v>
      </c>
      <c r="AD41" s="34">
        <f t="shared" si="4"/>
        <v>0.06</v>
      </c>
    </row>
    <row r="42" spans="1:30" x14ac:dyDescent="0.35">
      <c r="A42" s="28">
        <v>40</v>
      </c>
      <c r="B42" s="29"/>
      <c r="C42" s="29"/>
      <c r="D42" s="29"/>
      <c r="E42" s="30"/>
      <c r="F42" s="28" t="s">
        <v>247</v>
      </c>
      <c r="G42" s="31">
        <v>8500</v>
      </c>
      <c r="H42" s="28" t="s">
        <v>249</v>
      </c>
      <c r="I42" s="28" t="s">
        <v>214</v>
      </c>
      <c r="J42" s="32">
        <v>0</v>
      </c>
      <c r="K42" s="28" t="s">
        <v>214</v>
      </c>
      <c r="L42" s="28" t="s">
        <v>214</v>
      </c>
      <c r="M42" s="28" t="s">
        <v>95</v>
      </c>
      <c r="N42" s="28" t="s">
        <v>214</v>
      </c>
      <c r="O42" s="28" t="s">
        <v>213</v>
      </c>
      <c r="P42" s="33">
        <v>8.5000000000000006E-2</v>
      </c>
      <c r="Q42" s="28" t="s">
        <v>250</v>
      </c>
      <c r="R42" s="35">
        <f t="shared" si="0"/>
        <v>8500</v>
      </c>
      <c r="S42" s="35">
        <f>IF($G42="","",ROUND(IF($H42="B2B",IF($Q42="Duży",5652*19.52%,0),IF(OR($H42="Umowa o pracę",AND($H42="Umowa zlecenie",$L42&lt;&gt;"Tak")),R42*'Założenia 2026'!$B$9,0)),2))</f>
        <v>1103.27</v>
      </c>
      <c r="T42" s="35">
        <f>IF($G42="","",ROUND(IF($H42="B2B",IF($Q42="Duży",5652*8%,0),IF(OR($H42="Umowa o pracę",AND($H42="Umowa zlecenie",$L42&lt;&gt;"Tak")),R42*'Założenia 2026'!$B$10,0)),2))</f>
        <v>452.16</v>
      </c>
      <c r="U42" s="35">
        <f>IF($G42="","",ROUND(IF($H42="B2B",IF(AND($Q42="Duży",$M42="Tak"),5652*2.45%,0),IF(OR($H42="Umowa o pracę",AND($H42="Umowa zlecenie",$L42&lt;&gt;"Tak",$M42="Tak")),R42*'Założenia 2026'!$B$11,0)),2))</f>
        <v>138.47</v>
      </c>
      <c r="V42" s="35">
        <f>IF($G42="","",ROUND(IF($H42="B2B",IF($Q42="Duży",IF($M42="Tak",'Założenia 2026'!$B$24,'Założenia 2026'!$B$23),0),S42+T42+U42),2))</f>
        <v>1926.76</v>
      </c>
      <c r="W42" s="35">
        <f t="shared" si="1"/>
        <v>6573.24</v>
      </c>
      <c r="X42" s="35">
        <f>IF($G42="","",ROUND(IF($H42="B2B",IF($O42="Ryczałt",'Założenia 2026'!$B$27,MAX('Założenia 2026'!$B$22,IF($O42="Liniowy",W42*4.9%,W42*9%))),IF(OR($H42="Umowa o pracę",AND($H42="Umowa zlecenie",$L42&lt;&gt;"Tak")),W42*'Założenia 2026'!$B$12,0)),2))</f>
        <v>498.35</v>
      </c>
      <c r="Y42" s="35">
        <f>IF($G42="","",ROUND(IF($H42="Umowa o pracę",$J42,IF($H42="Umowa zlecenie",(R42-V42)*'Założenia 2026'!$B$32,IF($H42="Umowa o dzieło",R42*IF($N42="Tak",'Założenia 2026'!$B$33,'Założenia 2026'!$B$32),0))),2))</f>
        <v>0</v>
      </c>
      <c r="Z42" s="35">
        <f t="shared" si="2"/>
        <v>6324</v>
      </c>
      <c r="AA42" s="35">
        <f>IF($G42="","",MAX(0,ROUND(IF(AND(OR($H42="Umowa o pracę",$H42="Umowa zlecenie"),$K42="Tak"),0,IF(AND($H42="Umowa zlecenie",$L42="Tak"),0,IF($H42="B2B",IF($O42="Liniowy",MAX(0,(Z42-MIN(X42,'Założenia 2026'!$B$8))*'Założenia 2026'!$B$7),IF($O42="Ryczałt",Z42*$P42,MAX(0,Z42*'Założenia 2026'!$B$4-'Założenia 2026'!$B$6/12))),MAX(0,Z42*'Założenia 2026'!$B$4-IF($I42="Tak",300,0))))),0)))</f>
        <v>538</v>
      </c>
      <c r="AB42" s="35">
        <f t="shared" si="3"/>
        <v>5536.89</v>
      </c>
      <c r="AC42" s="35">
        <f>IF($G42="","",ROUND(IF($H42="B2B",R42,IF(OR($H42="Umowa o pracę",AND($H42="Umowa zlecenie",$L42&lt;&gt;"Tak")),R42+R42*('Założenia 2026'!$B$13+'Założenia 2026'!$B$14+'Założenia 2026'!$B$15+'Założenia 2026'!$B$16+'Założenia 2026'!$B$17),R42)),2))</f>
        <v>8500</v>
      </c>
      <c r="AD42" s="34">
        <f t="shared" si="4"/>
        <v>0.34860117647058819</v>
      </c>
    </row>
    <row r="43" spans="1:30" x14ac:dyDescent="0.35">
      <c r="A43" s="28">
        <v>41</v>
      </c>
      <c r="B43" s="29"/>
      <c r="C43" s="29"/>
      <c r="D43" s="29"/>
      <c r="E43" s="30"/>
      <c r="F43" s="28" t="s">
        <v>247</v>
      </c>
      <c r="G43" s="31">
        <v>26000</v>
      </c>
      <c r="H43" s="28" t="s">
        <v>248</v>
      </c>
      <c r="I43" s="28" t="s">
        <v>95</v>
      </c>
      <c r="J43" s="32">
        <v>250</v>
      </c>
      <c r="K43" s="28" t="s">
        <v>214</v>
      </c>
      <c r="L43" s="28" t="s">
        <v>214</v>
      </c>
      <c r="M43" s="28" t="s">
        <v>214</v>
      </c>
      <c r="N43" s="28" t="s">
        <v>214</v>
      </c>
      <c r="O43" s="28"/>
      <c r="P43" s="33"/>
      <c r="Q43" s="28"/>
      <c r="R43" s="35">
        <f t="shared" si="0"/>
        <v>26000</v>
      </c>
      <c r="S43" s="35">
        <f>IF($G43="","",ROUND(IF($H43="B2B",IF($Q43="Duży",5652*19.52%,0),IF(OR($H43="Umowa o pracę",AND($H43="Umowa zlecenie",$L43&lt;&gt;"Tak")),R43*'Założenia 2026'!$B$9,0)),2))</f>
        <v>2537.6</v>
      </c>
      <c r="T43" s="35">
        <f>IF($G43="","",ROUND(IF($H43="B2B",IF($Q43="Duży",5652*8%,0),IF(OR($H43="Umowa o pracę",AND($H43="Umowa zlecenie",$L43&lt;&gt;"Tak")),R43*'Założenia 2026'!$B$10,0)),2))</f>
        <v>390</v>
      </c>
      <c r="U43" s="35">
        <f>IF($G43="","",ROUND(IF($H43="B2B",IF(AND($Q43="Duży",$M43="Tak"),5652*2.45%,0),IF(OR($H43="Umowa o pracę",AND($H43="Umowa zlecenie",$L43&lt;&gt;"Tak",$M43="Tak")),R43*'Założenia 2026'!$B$11,0)),2))</f>
        <v>637</v>
      </c>
      <c r="V43" s="35">
        <f>IF($G43="","",ROUND(IF($H43="B2B",IF($Q43="Duży",IF($M43="Tak",'Założenia 2026'!$B$24,'Założenia 2026'!$B$23),0),S43+T43+U43),2))</f>
        <v>3564.6</v>
      </c>
      <c r="W43" s="35">
        <f t="shared" si="1"/>
        <v>22435.4</v>
      </c>
      <c r="X43" s="35">
        <f>IF($G43="","",ROUND(IF($H43="B2B",IF($O43="Ryczałt",'Założenia 2026'!$B$27,MAX('Założenia 2026'!$B$22,IF($O43="Liniowy",W43*4.9%,W43*9%))),IF(OR($H43="Umowa o pracę",AND($H43="Umowa zlecenie",$L43&lt;&gt;"Tak")),W43*'Założenia 2026'!$B$12,0)),2))</f>
        <v>2019.19</v>
      </c>
      <c r="Y43" s="35">
        <f>IF($G43="","",ROUND(IF($H43="Umowa o pracę",$J43,IF($H43="Umowa zlecenie",(R43-V43)*'Założenia 2026'!$B$32,IF($H43="Umowa o dzieło",R43*IF($N43="Tak",'Założenia 2026'!$B$33,'Założenia 2026'!$B$32),0))),2))</f>
        <v>250</v>
      </c>
      <c r="Z43" s="35">
        <f t="shared" si="2"/>
        <v>22185</v>
      </c>
      <c r="AA43" s="35">
        <f>IF($G43="","",MAX(0,ROUND(IF(AND(OR($H43="Umowa o pracę",$H43="Umowa zlecenie"),$K43="Tak"),0,IF(AND($H43="Umowa zlecenie",$L43="Tak"),0,IF($H43="B2B",IF($O43="Liniowy",MAX(0,(Z43-MIN(X43,'Założenia 2026'!$B$8))*'Założenia 2026'!$B$7),IF($O43="Ryczałt",Z43*$P43,MAX(0,Z43*'Założenia 2026'!$B$4-'Założenia 2026'!$B$6/12))),MAX(0,Z43*'Założenia 2026'!$B$4-IF($I43="Tak",300,0))))),0)))</f>
        <v>2362</v>
      </c>
      <c r="AB43" s="35">
        <f t="shared" si="3"/>
        <v>18054.21</v>
      </c>
      <c r="AC43" s="35">
        <f>IF($G43="","",ROUND(IF($H43="B2B",R43,IF(OR($H43="Umowa o pracę",AND($H43="Umowa zlecenie",$L43&lt;&gt;"Tak")),R43+R43*('Założenia 2026'!$B$13+'Założenia 2026'!$B$14+'Założenia 2026'!$B$15+'Założenia 2026'!$B$16+'Założenia 2026'!$B$17),R43)),2))</f>
        <v>31324.799999999999</v>
      </c>
      <c r="AD43" s="34">
        <f t="shared" si="4"/>
        <v>0.42364484370211464</v>
      </c>
    </row>
    <row r="44" spans="1:30" x14ac:dyDescent="0.35">
      <c r="A44" s="28">
        <v>42</v>
      </c>
      <c r="B44" s="29"/>
      <c r="C44" s="29"/>
      <c r="D44" s="29"/>
      <c r="E44" s="30"/>
      <c r="F44" s="28" t="s">
        <v>247</v>
      </c>
      <c r="G44" s="31">
        <v>18900</v>
      </c>
      <c r="H44" s="28" t="s">
        <v>211</v>
      </c>
      <c r="I44" s="28" t="s">
        <v>95</v>
      </c>
      <c r="J44" s="32">
        <v>0</v>
      </c>
      <c r="K44" s="28" t="s">
        <v>214</v>
      </c>
      <c r="L44" s="28" t="s">
        <v>214</v>
      </c>
      <c r="M44" s="28" t="s">
        <v>214</v>
      </c>
      <c r="N44" s="28" t="s">
        <v>214</v>
      </c>
      <c r="O44" s="28"/>
      <c r="P44" s="33"/>
      <c r="Q44" s="28"/>
      <c r="R44" s="35">
        <f t="shared" si="0"/>
        <v>18900</v>
      </c>
      <c r="S44" s="35">
        <f>IF($G44="","",ROUND(IF($H44="B2B",IF($Q44="Duży",5652*19.52%,0),IF(OR($H44="Umowa o pracę",AND($H44="Umowa zlecenie",$L44&lt;&gt;"Tak")),R44*'Założenia 2026'!$B$9,0)),2))</f>
        <v>1844.64</v>
      </c>
      <c r="T44" s="35">
        <f>IF($G44="","",ROUND(IF($H44="B2B",IF($Q44="Duży",5652*8%,0),IF(OR($H44="Umowa o pracę",AND($H44="Umowa zlecenie",$L44&lt;&gt;"Tak")),R44*'Założenia 2026'!$B$10,0)),2))</f>
        <v>283.5</v>
      </c>
      <c r="U44" s="35">
        <f>IF($G44="","",ROUND(IF($H44="B2B",IF(AND($Q44="Duży",$M44="Tak"),5652*2.45%,0),IF(OR($H44="Umowa o pracę",AND($H44="Umowa zlecenie",$L44&lt;&gt;"Tak",$M44="Tak")),R44*'Założenia 2026'!$B$11,0)),2))</f>
        <v>0</v>
      </c>
      <c r="V44" s="35">
        <f>IF($G44="","",ROUND(IF($H44="B2B",IF($Q44="Duży",IF($M44="Tak",'Założenia 2026'!$B$24,'Założenia 2026'!$B$23),0),S44+T44+U44),2))</f>
        <v>2128.14</v>
      </c>
      <c r="W44" s="35">
        <f t="shared" si="1"/>
        <v>16771.86</v>
      </c>
      <c r="X44" s="35">
        <f>IF($G44="","",ROUND(IF($H44="B2B",IF($O44="Ryczałt",'Założenia 2026'!$B$27,MAX('Założenia 2026'!$B$22,IF($O44="Liniowy",W44*4.9%,W44*9%))),IF(OR($H44="Umowa o pracę",AND($H44="Umowa zlecenie",$L44&lt;&gt;"Tak")),W44*'Założenia 2026'!$B$12,0)),2))</f>
        <v>1509.47</v>
      </c>
      <c r="Y44" s="35">
        <f>IF($G44="","",ROUND(IF($H44="Umowa o pracę",$J44,IF($H44="Umowa zlecenie",(R44-V44)*'Założenia 2026'!$B$32,IF($H44="Umowa o dzieło",R44*IF($N44="Tak",'Założenia 2026'!$B$33,'Założenia 2026'!$B$32),0))),2))</f>
        <v>3354.37</v>
      </c>
      <c r="Z44" s="35">
        <f t="shared" si="2"/>
        <v>13417</v>
      </c>
      <c r="AA44" s="35">
        <f>IF($G44="","",MAX(0,ROUND(IF(AND(OR($H44="Umowa o pracę",$H44="Umowa zlecenie"),$K44="Tak"),0,IF(AND($H44="Umowa zlecenie",$L44="Tak"),0,IF($H44="B2B",IF($O44="Liniowy",MAX(0,(Z44-MIN(X44,'Założenia 2026'!$B$8))*'Założenia 2026'!$B$7),IF($O44="Ryczałt",Z44*$P44,MAX(0,Z44*'Założenia 2026'!$B$4-'Założenia 2026'!$B$6/12))),MAX(0,Z44*'Założenia 2026'!$B$4-IF($I44="Tak",300,0))))),0)))</f>
        <v>1310</v>
      </c>
      <c r="AB44" s="35">
        <f t="shared" si="3"/>
        <v>13952.39</v>
      </c>
      <c r="AC44" s="35">
        <f>IF($G44="","",ROUND(IF($H44="B2B",R44,IF(OR($H44="Umowa o pracę",AND($H44="Umowa zlecenie",$L44&lt;&gt;"Tak")),R44+R44*('Założenia 2026'!$B$13+'Założenia 2026'!$B$14+'Założenia 2026'!$B$15+'Założenia 2026'!$B$16+'Założenia 2026'!$B$17),R44)),2))</f>
        <v>22770.720000000001</v>
      </c>
      <c r="AD44" s="34">
        <f t="shared" si="4"/>
        <v>0.38726619096805026</v>
      </c>
    </row>
    <row r="45" spans="1:30" x14ac:dyDescent="0.35">
      <c r="A45" s="28">
        <v>43</v>
      </c>
      <c r="B45" s="29"/>
      <c r="C45" s="29"/>
      <c r="D45" s="29"/>
      <c r="E45" s="30"/>
      <c r="F45" s="28" t="s">
        <v>247</v>
      </c>
      <c r="G45" s="31">
        <v>13800</v>
      </c>
      <c r="H45" s="28" t="s">
        <v>212</v>
      </c>
      <c r="I45" s="28" t="s">
        <v>214</v>
      </c>
      <c r="J45" s="32">
        <v>0</v>
      </c>
      <c r="K45" s="28" t="s">
        <v>214</v>
      </c>
      <c r="L45" s="28" t="s">
        <v>214</v>
      </c>
      <c r="M45" s="28" t="s">
        <v>214</v>
      </c>
      <c r="N45" s="28" t="s">
        <v>95</v>
      </c>
      <c r="O45" s="28"/>
      <c r="P45" s="33"/>
      <c r="Q45" s="28"/>
      <c r="R45" s="35">
        <f t="shared" si="0"/>
        <v>13800</v>
      </c>
      <c r="S45" s="35">
        <f>IF($G45="","",ROUND(IF($H45="B2B",IF($Q45="Duży",5652*19.52%,0),IF(OR($H45="Umowa o pracę",AND($H45="Umowa zlecenie",$L45&lt;&gt;"Tak")),R45*'Założenia 2026'!$B$9,0)),2))</f>
        <v>0</v>
      </c>
      <c r="T45" s="35">
        <f>IF($G45="","",ROUND(IF($H45="B2B",IF($Q45="Duży",5652*8%,0),IF(OR($H45="Umowa o pracę",AND($H45="Umowa zlecenie",$L45&lt;&gt;"Tak")),R45*'Założenia 2026'!$B$10,0)),2))</f>
        <v>0</v>
      </c>
      <c r="U45" s="35">
        <f>IF($G45="","",ROUND(IF($H45="B2B",IF(AND($Q45="Duży",$M45="Tak"),5652*2.45%,0),IF(OR($H45="Umowa o pracę",AND($H45="Umowa zlecenie",$L45&lt;&gt;"Tak",$M45="Tak")),R45*'Założenia 2026'!$B$11,0)),2))</f>
        <v>0</v>
      </c>
      <c r="V45" s="35">
        <f>IF($G45="","",ROUND(IF($H45="B2B",IF($Q45="Duży",IF($M45="Tak",'Założenia 2026'!$B$24,'Założenia 2026'!$B$23),0),S45+T45+U45),2))</f>
        <v>0</v>
      </c>
      <c r="W45" s="35">
        <f t="shared" si="1"/>
        <v>13800</v>
      </c>
      <c r="X45" s="35">
        <f>IF($G45="","",ROUND(IF($H45="B2B",IF($O45="Ryczałt",'Założenia 2026'!$B$27,MAX('Założenia 2026'!$B$22,IF($O45="Liniowy",W45*4.9%,W45*9%))),IF(OR($H45="Umowa o pracę",AND($H45="Umowa zlecenie",$L45&lt;&gt;"Tak")),W45*'Założenia 2026'!$B$12,0)),2))</f>
        <v>0</v>
      </c>
      <c r="Y45" s="35">
        <f>IF($G45="","",ROUND(IF($H45="Umowa o pracę",$J45,IF($H45="Umowa zlecenie",(R45-V45)*'Założenia 2026'!$B$32,IF($H45="Umowa o dzieło",R45*IF($N45="Tak",'Założenia 2026'!$B$33,'Założenia 2026'!$B$32),0))),2))</f>
        <v>6900</v>
      </c>
      <c r="Z45" s="35">
        <f t="shared" si="2"/>
        <v>6900</v>
      </c>
      <c r="AA45" s="35">
        <f>IF($G45="","",MAX(0,ROUND(IF(AND(OR($H45="Umowa o pracę",$H45="Umowa zlecenie"),$K45="Tak"),0,IF(AND($H45="Umowa zlecenie",$L45="Tak"),0,IF($H45="B2B",IF($O45="Liniowy",MAX(0,(Z45-MIN(X45,'Założenia 2026'!$B$8))*'Założenia 2026'!$B$7),IF($O45="Ryczałt",Z45*$P45,MAX(0,Z45*'Założenia 2026'!$B$4-'Założenia 2026'!$B$6/12))),MAX(0,Z45*'Założenia 2026'!$B$4-IF($I45="Tak",300,0))))),0)))</f>
        <v>828</v>
      </c>
      <c r="AB45" s="35">
        <f t="shared" si="3"/>
        <v>12972</v>
      </c>
      <c r="AC45" s="35">
        <f>IF($G45="","",ROUND(IF($H45="B2B",R45,IF(OR($H45="Umowa o pracę",AND($H45="Umowa zlecenie",$L45&lt;&gt;"Tak")),R45+R45*('Założenia 2026'!$B$13+'Założenia 2026'!$B$14+'Założenia 2026'!$B$15+'Założenia 2026'!$B$16+'Założenia 2026'!$B$17),R45)),2))</f>
        <v>13800</v>
      </c>
      <c r="AD45" s="34">
        <f t="shared" si="4"/>
        <v>0.06</v>
      </c>
    </row>
    <row r="46" spans="1:30" x14ac:dyDescent="0.35">
      <c r="A46" s="28">
        <v>44</v>
      </c>
      <c r="B46" s="29"/>
      <c r="C46" s="29"/>
      <c r="D46" s="29"/>
      <c r="E46" s="30"/>
      <c r="F46" s="28" t="s">
        <v>247</v>
      </c>
      <c r="G46" s="31">
        <v>9900</v>
      </c>
      <c r="H46" s="28" t="s">
        <v>249</v>
      </c>
      <c r="I46" s="28" t="s">
        <v>214</v>
      </c>
      <c r="J46" s="32">
        <v>0</v>
      </c>
      <c r="K46" s="28" t="s">
        <v>214</v>
      </c>
      <c r="L46" s="28" t="s">
        <v>214</v>
      </c>
      <c r="M46" s="28" t="s">
        <v>214</v>
      </c>
      <c r="N46" s="28" t="s">
        <v>214</v>
      </c>
      <c r="O46" s="28" t="s">
        <v>251</v>
      </c>
      <c r="P46" s="33"/>
      <c r="Q46" s="28" t="s">
        <v>250</v>
      </c>
      <c r="R46" s="35">
        <f t="shared" si="0"/>
        <v>9900</v>
      </c>
      <c r="S46" s="35">
        <f>IF($G46="","",ROUND(IF($H46="B2B",IF($Q46="Duży",5652*19.52%,0),IF(OR($H46="Umowa o pracę",AND($H46="Umowa zlecenie",$L46&lt;&gt;"Tak")),R46*'Założenia 2026'!$B$9,0)),2))</f>
        <v>1103.27</v>
      </c>
      <c r="T46" s="35">
        <f>IF($G46="","",ROUND(IF($H46="B2B",IF($Q46="Duży",5652*8%,0),IF(OR($H46="Umowa o pracę",AND($H46="Umowa zlecenie",$L46&lt;&gt;"Tak")),R46*'Założenia 2026'!$B$10,0)),2))</f>
        <v>452.16</v>
      </c>
      <c r="U46" s="35">
        <f>IF($G46="","",ROUND(IF($H46="B2B",IF(AND($Q46="Duży",$M46="Tak"),5652*2.45%,0),IF(OR($H46="Umowa o pracę",AND($H46="Umowa zlecenie",$L46&lt;&gt;"Tak",$M46="Tak")),R46*'Założenia 2026'!$B$11,0)),2))</f>
        <v>0</v>
      </c>
      <c r="V46" s="35">
        <f>IF($G46="","",ROUND(IF($H46="B2B",IF($Q46="Duży",IF($M46="Tak",'Założenia 2026'!$B$24,'Założenia 2026'!$B$23),0),S46+T46+U46),2))</f>
        <v>1788.29</v>
      </c>
      <c r="W46" s="35">
        <f t="shared" si="1"/>
        <v>8111.71</v>
      </c>
      <c r="X46" s="35">
        <f>IF($G46="","",ROUND(IF($H46="B2B",IF($O46="Ryczałt",'Założenia 2026'!$B$27,MAX('Założenia 2026'!$B$22,IF($O46="Liniowy",W46*4.9%,W46*9%))),IF(OR($H46="Umowa o pracę",AND($H46="Umowa zlecenie",$L46&lt;&gt;"Tak")),W46*'Założenia 2026'!$B$12,0)),2))</f>
        <v>432.54</v>
      </c>
      <c r="Y46" s="35">
        <f>IF($G46="","",ROUND(IF($H46="Umowa o pracę",$J46,IF($H46="Umowa zlecenie",(R46-V46)*'Założenia 2026'!$B$32,IF($H46="Umowa o dzieło",R46*IF($N46="Tak",'Założenia 2026'!$B$33,'Założenia 2026'!$B$32),0))),2))</f>
        <v>0</v>
      </c>
      <c r="Z46" s="35">
        <f t="shared" si="2"/>
        <v>8112</v>
      </c>
      <c r="AA46" s="35">
        <f>IF($G46="","",MAX(0,ROUND(IF(AND(OR($H46="Umowa o pracę",$H46="Umowa zlecenie"),$K46="Tak"),0,IF(AND($H46="Umowa zlecenie",$L46="Tak"),0,IF($H46="B2B",IF($O46="Liniowy",MAX(0,(Z46-MIN(X46,'Założenia 2026'!$B$8))*'Założenia 2026'!$B$7),IF($O46="Ryczałt",Z46*$P46,MAX(0,Z46*'Założenia 2026'!$B$4-'Założenia 2026'!$B$6/12))),MAX(0,Z46*'Założenia 2026'!$B$4-IF($I46="Tak",300,0))))),0)))</f>
        <v>1459</v>
      </c>
      <c r="AB46" s="35">
        <f t="shared" si="3"/>
        <v>6220.17</v>
      </c>
      <c r="AC46" s="35">
        <f>IF($G46="","",ROUND(IF($H46="B2B",R46,IF(OR($H46="Umowa o pracę",AND($H46="Umowa zlecenie",$L46&lt;&gt;"Tak")),R46+R46*('Założenia 2026'!$B$13+'Założenia 2026'!$B$14+'Założenia 2026'!$B$15+'Założenia 2026'!$B$16+'Założenia 2026'!$B$17),R46)),2))</f>
        <v>9900</v>
      </c>
      <c r="AD46" s="34">
        <f t="shared" si="4"/>
        <v>0.37169999999999997</v>
      </c>
    </row>
    <row r="47" spans="1:30" x14ac:dyDescent="0.35">
      <c r="A47" s="28">
        <v>45</v>
      </c>
      <c r="B47" s="29"/>
      <c r="C47" s="29"/>
      <c r="D47" s="29"/>
      <c r="E47" s="30"/>
      <c r="F47" s="28" t="s">
        <v>247</v>
      </c>
      <c r="G47" s="31">
        <v>15500</v>
      </c>
      <c r="H47" s="28" t="s">
        <v>248</v>
      </c>
      <c r="I47" s="28" t="s">
        <v>95</v>
      </c>
      <c r="J47" s="32">
        <v>250</v>
      </c>
      <c r="K47" s="28" t="s">
        <v>214</v>
      </c>
      <c r="L47" s="28" t="s">
        <v>214</v>
      </c>
      <c r="M47" s="28" t="s">
        <v>214</v>
      </c>
      <c r="N47" s="28" t="s">
        <v>214</v>
      </c>
      <c r="O47" s="28"/>
      <c r="P47" s="33"/>
      <c r="Q47" s="28"/>
      <c r="R47" s="35">
        <f t="shared" si="0"/>
        <v>15500</v>
      </c>
      <c r="S47" s="35">
        <f>IF($G47="","",ROUND(IF($H47="B2B",IF($Q47="Duży",5652*19.52%,0),IF(OR($H47="Umowa o pracę",AND($H47="Umowa zlecenie",$L47&lt;&gt;"Tak")),R47*'Założenia 2026'!$B$9,0)),2))</f>
        <v>1512.8</v>
      </c>
      <c r="T47" s="35">
        <f>IF($G47="","",ROUND(IF($H47="B2B",IF($Q47="Duży",5652*8%,0),IF(OR($H47="Umowa o pracę",AND($H47="Umowa zlecenie",$L47&lt;&gt;"Tak")),R47*'Założenia 2026'!$B$10,0)),2))</f>
        <v>232.5</v>
      </c>
      <c r="U47" s="35">
        <f>IF($G47="","",ROUND(IF($H47="B2B",IF(AND($Q47="Duży",$M47="Tak"),5652*2.45%,0),IF(OR($H47="Umowa o pracę",AND($H47="Umowa zlecenie",$L47&lt;&gt;"Tak",$M47="Tak")),R47*'Założenia 2026'!$B$11,0)),2))</f>
        <v>379.75</v>
      </c>
      <c r="V47" s="35">
        <f>IF($G47="","",ROUND(IF($H47="B2B",IF($Q47="Duży",IF($M47="Tak",'Założenia 2026'!$B$24,'Założenia 2026'!$B$23),0),S47+T47+U47),2))</f>
        <v>2125.0500000000002</v>
      </c>
      <c r="W47" s="35">
        <f t="shared" si="1"/>
        <v>13374.95</v>
      </c>
      <c r="X47" s="35">
        <f>IF($G47="","",ROUND(IF($H47="B2B",IF($O47="Ryczałt",'Założenia 2026'!$B$27,MAX('Założenia 2026'!$B$22,IF($O47="Liniowy",W47*4.9%,W47*9%))),IF(OR($H47="Umowa o pracę",AND($H47="Umowa zlecenie",$L47&lt;&gt;"Tak")),W47*'Założenia 2026'!$B$12,0)),2))</f>
        <v>1203.75</v>
      </c>
      <c r="Y47" s="35">
        <f>IF($G47="","",ROUND(IF($H47="Umowa o pracę",$J47,IF($H47="Umowa zlecenie",(R47-V47)*'Założenia 2026'!$B$32,IF($H47="Umowa o dzieło",R47*IF($N47="Tak",'Założenia 2026'!$B$33,'Założenia 2026'!$B$32),0))),2))</f>
        <v>250</v>
      </c>
      <c r="Z47" s="35">
        <f t="shared" si="2"/>
        <v>13125</v>
      </c>
      <c r="AA47" s="35">
        <f>IF($G47="","",MAX(0,ROUND(IF(AND(OR($H47="Umowa o pracę",$H47="Umowa zlecenie"),$K47="Tak"),0,IF(AND($H47="Umowa zlecenie",$L47="Tak"),0,IF($H47="B2B",IF($O47="Liniowy",MAX(0,(Z47-MIN(X47,'Założenia 2026'!$B$8))*'Założenia 2026'!$B$7),IF($O47="Ryczałt",Z47*$P47,MAX(0,Z47*'Założenia 2026'!$B$4-'Założenia 2026'!$B$6/12))),MAX(0,Z47*'Założenia 2026'!$B$4-IF($I47="Tak",300,0))))),0)))</f>
        <v>1275</v>
      </c>
      <c r="AB47" s="35">
        <f t="shared" si="3"/>
        <v>10896.2</v>
      </c>
      <c r="AC47" s="35">
        <f>IF($G47="","",ROUND(IF($H47="B2B",R47,IF(OR($H47="Umowa o pracę",AND($H47="Umowa zlecenie",$L47&lt;&gt;"Tak")),R47+R47*('Założenia 2026'!$B$13+'Założenia 2026'!$B$14+'Założenia 2026'!$B$15+'Założenia 2026'!$B$16+'Założenia 2026'!$B$17),R47)),2))</f>
        <v>18674.400000000001</v>
      </c>
      <c r="AD47" s="34">
        <f t="shared" si="4"/>
        <v>0.41651672878378959</v>
      </c>
    </row>
    <row r="48" spans="1:30" x14ac:dyDescent="0.35">
      <c r="A48" s="28">
        <v>46</v>
      </c>
      <c r="B48" s="29"/>
      <c r="C48" s="29"/>
      <c r="D48" s="29"/>
      <c r="E48" s="30"/>
      <c r="F48" s="28" t="s">
        <v>247</v>
      </c>
      <c r="G48" s="31">
        <v>8200</v>
      </c>
      <c r="H48" s="28" t="s">
        <v>211</v>
      </c>
      <c r="I48" s="28" t="s">
        <v>95</v>
      </c>
      <c r="J48" s="32">
        <v>0</v>
      </c>
      <c r="K48" s="28" t="s">
        <v>95</v>
      </c>
      <c r="L48" s="28" t="s">
        <v>95</v>
      </c>
      <c r="M48" s="28" t="s">
        <v>95</v>
      </c>
      <c r="N48" s="28" t="s">
        <v>214</v>
      </c>
      <c r="O48" s="28"/>
      <c r="P48" s="33"/>
      <c r="Q48" s="28"/>
      <c r="R48" s="35">
        <f t="shared" si="0"/>
        <v>8200</v>
      </c>
      <c r="S48" s="35">
        <f>IF($G48="","",ROUND(IF($H48="B2B",IF($Q48="Duży",5652*19.52%,0),IF(OR($H48="Umowa o pracę",AND($H48="Umowa zlecenie",$L48&lt;&gt;"Tak")),R48*'Założenia 2026'!$B$9,0)),2))</f>
        <v>0</v>
      </c>
      <c r="T48" s="35">
        <f>IF($G48="","",ROUND(IF($H48="B2B",IF($Q48="Duży",5652*8%,0),IF(OR($H48="Umowa o pracę",AND($H48="Umowa zlecenie",$L48&lt;&gt;"Tak")),R48*'Założenia 2026'!$B$10,0)),2))</f>
        <v>0</v>
      </c>
      <c r="U48" s="35">
        <f>IF($G48="","",ROUND(IF($H48="B2B",IF(AND($Q48="Duży",$M48="Tak"),5652*2.45%,0),IF(OR($H48="Umowa o pracę",AND($H48="Umowa zlecenie",$L48&lt;&gt;"Tak",$M48="Tak")),R48*'Założenia 2026'!$B$11,0)),2))</f>
        <v>0</v>
      </c>
      <c r="V48" s="35">
        <f>IF($G48="","",ROUND(IF($H48="B2B",IF($Q48="Duży",IF($M48="Tak",'Założenia 2026'!$B$24,'Założenia 2026'!$B$23),0),S48+T48+U48),2))</f>
        <v>0</v>
      </c>
      <c r="W48" s="35">
        <f t="shared" si="1"/>
        <v>0</v>
      </c>
      <c r="X48" s="35">
        <f>IF($G48="","",ROUND(IF($H48="B2B",IF($O48="Ryczałt",'Założenia 2026'!$B$27,MAX('Założenia 2026'!$B$22,IF($O48="Liniowy",W48*4.9%,W48*9%))),IF(OR($H48="Umowa o pracę",AND($H48="Umowa zlecenie",$L48&lt;&gt;"Tak")),W48*'Założenia 2026'!$B$12,0)),2))</f>
        <v>0</v>
      </c>
      <c r="Y48" s="35">
        <f>IF($G48="","",ROUND(IF($H48="Umowa o pracę",$J48,IF($H48="Umowa zlecenie",(R48-V48)*'Założenia 2026'!$B$32,IF($H48="Umowa o dzieło",R48*IF($N48="Tak",'Założenia 2026'!$B$33,'Założenia 2026'!$B$32),0))),2))</f>
        <v>1640</v>
      </c>
      <c r="Z48" s="35">
        <f t="shared" si="2"/>
        <v>6560</v>
      </c>
      <c r="AA48" s="35">
        <f>IF($G48="","",MAX(0,ROUND(IF(AND(OR($H48="Umowa o pracę",$H48="Umowa zlecenie"),$K48="Tak"),0,IF(AND($H48="Umowa zlecenie",$L48="Tak"),0,IF($H48="B2B",IF($O48="Liniowy",MAX(0,(Z48-MIN(X48,'Założenia 2026'!$B$8))*'Założenia 2026'!$B$7),IF($O48="Ryczałt",Z48*$P48,MAX(0,Z48*'Założenia 2026'!$B$4-'Założenia 2026'!$B$6/12))),MAX(0,Z48*'Założenia 2026'!$B$4-IF($I48="Tak",300,0))))),0)))</f>
        <v>0</v>
      </c>
      <c r="AB48" s="35">
        <f t="shared" si="3"/>
        <v>8200</v>
      </c>
      <c r="AC48" s="35">
        <f>IF($G48="","",ROUND(IF($H48="B2B",R48,IF(OR($H48="Umowa o pracę",AND($H48="Umowa zlecenie",$L48&lt;&gt;"Tak")),R48+R48*('Założenia 2026'!$B$13+'Założenia 2026'!$B$14+'Założenia 2026'!$B$15+'Założenia 2026'!$B$16+'Założenia 2026'!$B$17),R48)),2))</f>
        <v>8200</v>
      </c>
      <c r="AD48" s="34">
        <f t="shared" si="4"/>
        <v>0</v>
      </c>
    </row>
    <row r="49" spans="1:30" x14ac:dyDescent="0.35">
      <c r="A49" s="28">
        <v>47</v>
      </c>
      <c r="B49" s="29"/>
      <c r="C49" s="29"/>
      <c r="D49" s="29"/>
      <c r="E49" s="30"/>
      <c r="F49" s="28" t="s">
        <v>247</v>
      </c>
      <c r="G49" s="31">
        <v>13500</v>
      </c>
      <c r="H49" s="28" t="s">
        <v>212</v>
      </c>
      <c r="I49" s="28" t="s">
        <v>214</v>
      </c>
      <c r="J49" s="32">
        <v>0</v>
      </c>
      <c r="K49" s="28" t="s">
        <v>214</v>
      </c>
      <c r="L49" s="28" t="s">
        <v>214</v>
      </c>
      <c r="M49" s="28" t="s">
        <v>214</v>
      </c>
      <c r="N49" s="28" t="s">
        <v>95</v>
      </c>
      <c r="O49" s="28"/>
      <c r="P49" s="33"/>
      <c r="Q49" s="28"/>
      <c r="R49" s="35">
        <f t="shared" si="0"/>
        <v>13500</v>
      </c>
      <c r="S49" s="35">
        <f>IF($G49="","",ROUND(IF($H49="B2B",IF($Q49="Duży",5652*19.52%,0),IF(OR($H49="Umowa o pracę",AND($H49="Umowa zlecenie",$L49&lt;&gt;"Tak")),R49*'Założenia 2026'!$B$9,0)),2))</f>
        <v>0</v>
      </c>
      <c r="T49" s="35">
        <f>IF($G49="","",ROUND(IF($H49="B2B",IF($Q49="Duży",5652*8%,0),IF(OR($H49="Umowa o pracę",AND($H49="Umowa zlecenie",$L49&lt;&gt;"Tak")),R49*'Założenia 2026'!$B$10,0)),2))</f>
        <v>0</v>
      </c>
      <c r="U49" s="35">
        <f>IF($G49="","",ROUND(IF($H49="B2B",IF(AND($Q49="Duży",$M49="Tak"),5652*2.45%,0),IF(OR($H49="Umowa o pracę",AND($H49="Umowa zlecenie",$L49&lt;&gt;"Tak",$M49="Tak")),R49*'Założenia 2026'!$B$11,0)),2))</f>
        <v>0</v>
      </c>
      <c r="V49" s="35">
        <f>IF($G49="","",ROUND(IF($H49="B2B",IF($Q49="Duży",IF($M49="Tak",'Założenia 2026'!$B$24,'Założenia 2026'!$B$23),0),S49+T49+U49),2))</f>
        <v>0</v>
      </c>
      <c r="W49" s="35">
        <f t="shared" si="1"/>
        <v>13500</v>
      </c>
      <c r="X49" s="35">
        <f>IF($G49="","",ROUND(IF($H49="B2B",IF($O49="Ryczałt",'Założenia 2026'!$B$27,MAX('Założenia 2026'!$B$22,IF($O49="Liniowy",W49*4.9%,W49*9%))),IF(OR($H49="Umowa o pracę",AND($H49="Umowa zlecenie",$L49&lt;&gt;"Tak")),W49*'Założenia 2026'!$B$12,0)),2))</f>
        <v>0</v>
      </c>
      <c r="Y49" s="35">
        <f>IF($G49="","",ROUND(IF($H49="Umowa o pracę",$J49,IF($H49="Umowa zlecenie",(R49-V49)*'Założenia 2026'!$B$32,IF($H49="Umowa o dzieło",R49*IF($N49="Tak",'Założenia 2026'!$B$33,'Założenia 2026'!$B$32),0))),2))</f>
        <v>6750</v>
      </c>
      <c r="Z49" s="35">
        <f t="shared" si="2"/>
        <v>6750</v>
      </c>
      <c r="AA49" s="35">
        <f>IF($G49="","",MAX(0,ROUND(IF(AND(OR($H49="Umowa o pracę",$H49="Umowa zlecenie"),$K49="Tak"),0,IF(AND($H49="Umowa zlecenie",$L49="Tak"),0,IF($H49="B2B",IF($O49="Liniowy",MAX(0,(Z49-MIN(X49,'Założenia 2026'!$B$8))*'Założenia 2026'!$B$7),IF($O49="Ryczałt",Z49*$P49,MAX(0,Z49*'Założenia 2026'!$B$4-'Założenia 2026'!$B$6/12))),MAX(0,Z49*'Założenia 2026'!$B$4-IF($I49="Tak",300,0))))),0)))</f>
        <v>810</v>
      </c>
      <c r="AB49" s="35">
        <f t="shared" si="3"/>
        <v>12690</v>
      </c>
      <c r="AC49" s="35">
        <f>IF($G49="","",ROUND(IF($H49="B2B",R49,IF(OR($H49="Umowa o pracę",AND($H49="Umowa zlecenie",$L49&lt;&gt;"Tak")),R49+R49*('Założenia 2026'!$B$13+'Założenia 2026'!$B$14+'Założenia 2026'!$B$15+'Założenia 2026'!$B$16+'Założenia 2026'!$B$17),R49)),2))</f>
        <v>13500</v>
      </c>
      <c r="AD49" s="34">
        <f t="shared" si="4"/>
        <v>0.06</v>
      </c>
    </row>
    <row r="50" spans="1:30" x14ac:dyDescent="0.35">
      <c r="A50" s="28">
        <v>48</v>
      </c>
      <c r="B50" s="29"/>
      <c r="C50" s="29"/>
      <c r="D50" s="29"/>
      <c r="E50" s="30"/>
      <c r="F50" s="28" t="s">
        <v>247</v>
      </c>
      <c r="G50" s="31">
        <v>9700</v>
      </c>
      <c r="H50" s="28" t="s">
        <v>249</v>
      </c>
      <c r="I50" s="28" t="s">
        <v>214</v>
      </c>
      <c r="J50" s="32">
        <v>0</v>
      </c>
      <c r="K50" s="28" t="s">
        <v>214</v>
      </c>
      <c r="L50" s="28" t="s">
        <v>214</v>
      </c>
      <c r="M50" s="28" t="s">
        <v>214</v>
      </c>
      <c r="N50" s="28" t="s">
        <v>214</v>
      </c>
      <c r="O50" s="28" t="s">
        <v>252</v>
      </c>
      <c r="P50" s="33"/>
      <c r="Q50" s="28" t="s">
        <v>250</v>
      </c>
      <c r="R50" s="35">
        <f t="shared" si="0"/>
        <v>9700</v>
      </c>
      <c r="S50" s="35">
        <f>IF($G50="","",ROUND(IF($H50="B2B",IF($Q50="Duży",5652*19.52%,0),IF(OR($H50="Umowa o pracę",AND($H50="Umowa zlecenie",$L50&lt;&gt;"Tak")),R50*'Założenia 2026'!$B$9,0)),2))</f>
        <v>1103.27</v>
      </c>
      <c r="T50" s="35">
        <f>IF($G50="","",ROUND(IF($H50="B2B",IF($Q50="Duży",5652*8%,0),IF(OR($H50="Umowa o pracę",AND($H50="Umowa zlecenie",$L50&lt;&gt;"Tak")),R50*'Założenia 2026'!$B$10,0)),2))</f>
        <v>452.16</v>
      </c>
      <c r="U50" s="35">
        <f>IF($G50="","",ROUND(IF($H50="B2B",IF(AND($Q50="Duży",$M50="Tak"),5652*2.45%,0),IF(OR($H50="Umowa o pracę",AND($H50="Umowa zlecenie",$L50&lt;&gt;"Tak",$M50="Tak")),R50*'Założenia 2026'!$B$11,0)),2))</f>
        <v>0</v>
      </c>
      <c r="V50" s="35">
        <f>IF($G50="","",ROUND(IF($H50="B2B",IF($Q50="Duży",IF($M50="Tak",'Założenia 2026'!$B$24,'Założenia 2026'!$B$23),0),S50+T50+U50),2))</f>
        <v>1788.29</v>
      </c>
      <c r="W50" s="35">
        <f t="shared" si="1"/>
        <v>7911.71</v>
      </c>
      <c r="X50" s="35">
        <f>IF($G50="","",ROUND(IF($H50="B2B",IF($O50="Ryczałt",'Założenia 2026'!$B$27,MAX('Założenia 2026'!$B$22,IF($O50="Liniowy",W50*4.9%,W50*9%))),IF(OR($H50="Umowa o pracę",AND($H50="Umowa zlecenie",$L50&lt;&gt;"Tak")),W50*'Założenia 2026'!$B$12,0)),2))</f>
        <v>712.05</v>
      </c>
      <c r="Y50" s="35">
        <f>IF($G50="","",ROUND(IF($H50="Umowa o pracę",$J50,IF($H50="Umowa zlecenie",(R50-V50)*'Założenia 2026'!$B$32,IF($H50="Umowa o dzieło",R50*IF($N50="Tak",'Założenia 2026'!$B$33,'Założenia 2026'!$B$32),0))),2))</f>
        <v>0</v>
      </c>
      <c r="Z50" s="35">
        <f t="shared" si="2"/>
        <v>7912</v>
      </c>
      <c r="AA50" s="35">
        <f>IF($G50="","",MAX(0,ROUND(IF(AND(OR($H50="Umowa o pracę",$H50="Umowa zlecenie"),$K50="Tak"),0,IF(AND($H50="Umowa zlecenie",$L50="Tak"),0,IF($H50="B2B",IF($O50="Liniowy",MAX(0,(Z50-MIN(X50,'Założenia 2026'!$B$8))*'Założenia 2026'!$B$7),IF($O50="Ryczałt",Z50*$P50,MAX(0,Z50*'Założenia 2026'!$B$4-'Założenia 2026'!$B$6/12))),MAX(0,Z50*'Założenia 2026'!$B$4-IF($I50="Tak",300,0))))),0)))</f>
        <v>649</v>
      </c>
      <c r="AB50" s="35">
        <f t="shared" si="3"/>
        <v>6550.66</v>
      </c>
      <c r="AC50" s="35">
        <f>IF($G50="","",ROUND(IF($H50="B2B",R50,IF(OR($H50="Umowa o pracę",AND($H50="Umowa zlecenie",$L50&lt;&gt;"Tak")),R50+R50*('Założenia 2026'!$B$13+'Założenia 2026'!$B$14+'Założenia 2026'!$B$15+'Założenia 2026'!$B$16+'Założenia 2026'!$B$17),R50)),2))</f>
        <v>9700</v>
      </c>
      <c r="AD50" s="34">
        <f t="shared" si="4"/>
        <v>0.32467422680412372</v>
      </c>
    </row>
    <row r="51" spans="1:30" x14ac:dyDescent="0.35">
      <c r="A51" s="28">
        <v>49</v>
      </c>
      <c r="B51" s="29"/>
      <c r="C51" s="29"/>
      <c r="D51" s="29"/>
      <c r="E51" s="30"/>
      <c r="F51" s="28" t="s">
        <v>247</v>
      </c>
      <c r="G51" s="31">
        <v>5300</v>
      </c>
      <c r="H51" s="28" t="s">
        <v>248</v>
      </c>
      <c r="I51" s="28" t="s">
        <v>95</v>
      </c>
      <c r="J51" s="32">
        <v>250</v>
      </c>
      <c r="K51" s="28" t="s">
        <v>214</v>
      </c>
      <c r="L51" s="28" t="s">
        <v>214</v>
      </c>
      <c r="M51" s="28" t="s">
        <v>214</v>
      </c>
      <c r="N51" s="28" t="s">
        <v>214</v>
      </c>
      <c r="O51" s="28"/>
      <c r="P51" s="33"/>
      <c r="Q51" s="28"/>
      <c r="R51" s="35">
        <f t="shared" si="0"/>
        <v>5300</v>
      </c>
      <c r="S51" s="35">
        <f>IF($G51="","",ROUND(IF($H51="B2B",IF($Q51="Duży",5652*19.52%,0),IF(OR($H51="Umowa o pracę",AND($H51="Umowa zlecenie",$L51&lt;&gt;"Tak")),R51*'Założenia 2026'!$B$9,0)),2))</f>
        <v>517.28</v>
      </c>
      <c r="T51" s="35">
        <f>IF($G51="","",ROUND(IF($H51="B2B",IF($Q51="Duży",5652*8%,0),IF(OR($H51="Umowa o pracę",AND($H51="Umowa zlecenie",$L51&lt;&gt;"Tak")),R51*'Założenia 2026'!$B$10,0)),2))</f>
        <v>79.5</v>
      </c>
      <c r="U51" s="35">
        <f>IF($G51="","",ROUND(IF($H51="B2B",IF(AND($Q51="Duży",$M51="Tak"),5652*2.45%,0),IF(OR($H51="Umowa o pracę",AND($H51="Umowa zlecenie",$L51&lt;&gt;"Tak",$M51="Tak")),R51*'Założenia 2026'!$B$11,0)),2))</f>
        <v>129.85</v>
      </c>
      <c r="V51" s="35">
        <f>IF($G51="","",ROUND(IF($H51="B2B",IF($Q51="Duży",IF($M51="Tak",'Założenia 2026'!$B$24,'Założenia 2026'!$B$23),0),S51+T51+U51),2))</f>
        <v>726.63</v>
      </c>
      <c r="W51" s="35">
        <f t="shared" si="1"/>
        <v>4573.37</v>
      </c>
      <c r="X51" s="35">
        <f>IF($G51="","",ROUND(IF($H51="B2B",IF($O51="Ryczałt",'Założenia 2026'!$B$27,MAX('Założenia 2026'!$B$22,IF($O51="Liniowy",W51*4.9%,W51*9%))),IF(OR($H51="Umowa o pracę",AND($H51="Umowa zlecenie",$L51&lt;&gt;"Tak")),W51*'Założenia 2026'!$B$12,0)),2))</f>
        <v>411.6</v>
      </c>
      <c r="Y51" s="35">
        <f>IF($G51="","",ROUND(IF($H51="Umowa o pracę",$J51,IF($H51="Umowa zlecenie",(R51-V51)*'Założenia 2026'!$B$32,IF($H51="Umowa o dzieło",R51*IF($N51="Tak",'Założenia 2026'!$B$33,'Założenia 2026'!$B$32),0))),2))</f>
        <v>250</v>
      </c>
      <c r="Z51" s="35">
        <f t="shared" si="2"/>
        <v>4323</v>
      </c>
      <c r="AA51" s="35">
        <f>IF($G51="","",MAX(0,ROUND(IF(AND(OR($H51="Umowa o pracę",$H51="Umowa zlecenie"),$K51="Tak"),0,IF(AND($H51="Umowa zlecenie",$L51="Tak"),0,IF($H51="B2B",IF($O51="Liniowy",MAX(0,(Z51-MIN(X51,'Założenia 2026'!$B$8))*'Założenia 2026'!$B$7),IF($O51="Ryczałt",Z51*$P51,MAX(0,Z51*'Założenia 2026'!$B$4-'Założenia 2026'!$B$6/12))),MAX(0,Z51*'Założenia 2026'!$B$4-IF($I51="Tak",300,0))))),0)))</f>
        <v>219</v>
      </c>
      <c r="AB51" s="35">
        <f t="shared" si="3"/>
        <v>3942.77</v>
      </c>
      <c r="AC51" s="35">
        <f>IF($G51="","",ROUND(IF($H51="B2B",R51,IF(OR($H51="Umowa o pracę",AND($H51="Umowa zlecenie",$L51&lt;&gt;"Tak")),R51+R51*('Założenia 2026'!$B$13+'Założenia 2026'!$B$14+'Założenia 2026'!$B$15+'Założenia 2026'!$B$16+'Założenia 2026'!$B$17),R51)),2))</f>
        <v>6385.44</v>
      </c>
      <c r="AD51" s="34">
        <f t="shared" si="4"/>
        <v>0.38253746022200502</v>
      </c>
    </row>
    <row r="52" spans="1:30" x14ac:dyDescent="0.35">
      <c r="A52" s="28">
        <v>50</v>
      </c>
      <c r="B52" s="29"/>
      <c r="C52" s="29"/>
      <c r="D52" s="29"/>
      <c r="E52" s="30"/>
      <c r="F52" s="28" t="s">
        <v>247</v>
      </c>
      <c r="G52" s="31">
        <v>5600</v>
      </c>
      <c r="H52" s="28" t="s">
        <v>211</v>
      </c>
      <c r="I52" s="28" t="s">
        <v>95</v>
      </c>
      <c r="J52" s="32">
        <v>0</v>
      </c>
      <c r="K52" s="28" t="s">
        <v>214</v>
      </c>
      <c r="L52" s="28" t="s">
        <v>214</v>
      </c>
      <c r="M52" s="28" t="s">
        <v>214</v>
      </c>
      <c r="N52" s="28" t="s">
        <v>214</v>
      </c>
      <c r="O52" s="28"/>
      <c r="P52" s="33"/>
      <c r="Q52" s="28"/>
      <c r="R52" s="35">
        <f t="shared" si="0"/>
        <v>5600</v>
      </c>
      <c r="S52" s="35">
        <f>IF($G52="","",ROUND(IF($H52="B2B",IF($Q52="Duży",5652*19.52%,0),IF(OR($H52="Umowa o pracę",AND($H52="Umowa zlecenie",$L52&lt;&gt;"Tak")),R52*'Założenia 2026'!$B$9,0)),2))</f>
        <v>546.55999999999995</v>
      </c>
      <c r="T52" s="35">
        <f>IF($G52="","",ROUND(IF($H52="B2B",IF($Q52="Duży",5652*8%,0),IF(OR($H52="Umowa o pracę",AND($H52="Umowa zlecenie",$L52&lt;&gt;"Tak")),R52*'Założenia 2026'!$B$10,0)),2))</f>
        <v>84</v>
      </c>
      <c r="U52" s="35">
        <f>IF($G52="","",ROUND(IF($H52="B2B",IF(AND($Q52="Duży",$M52="Tak"),5652*2.45%,0),IF(OR($H52="Umowa o pracę",AND($H52="Umowa zlecenie",$L52&lt;&gt;"Tak",$M52="Tak")),R52*'Założenia 2026'!$B$11,0)),2))</f>
        <v>0</v>
      </c>
      <c r="V52" s="35">
        <f>IF($G52="","",ROUND(IF($H52="B2B",IF($Q52="Duży",IF($M52="Tak",'Założenia 2026'!$B$24,'Założenia 2026'!$B$23),0),S52+T52+U52),2))</f>
        <v>630.55999999999995</v>
      </c>
      <c r="W52" s="35">
        <f t="shared" si="1"/>
        <v>4969.4399999999996</v>
      </c>
      <c r="X52" s="35">
        <f>IF($G52="","",ROUND(IF($H52="B2B",IF($O52="Ryczałt",'Założenia 2026'!$B$27,MAX('Założenia 2026'!$B$22,IF($O52="Liniowy",W52*4.9%,W52*9%))),IF(OR($H52="Umowa o pracę",AND($H52="Umowa zlecenie",$L52&lt;&gt;"Tak")),W52*'Założenia 2026'!$B$12,0)),2))</f>
        <v>447.25</v>
      </c>
      <c r="Y52" s="35">
        <f>IF($G52="","",ROUND(IF($H52="Umowa o pracę",$J52,IF($H52="Umowa zlecenie",(R52-V52)*'Założenia 2026'!$B$32,IF($H52="Umowa o dzieło",R52*IF($N52="Tak",'Założenia 2026'!$B$33,'Założenia 2026'!$B$32),0))),2))</f>
        <v>993.89</v>
      </c>
      <c r="Z52" s="35">
        <f t="shared" si="2"/>
        <v>3976</v>
      </c>
      <c r="AA52" s="35">
        <f>IF($G52="","",MAX(0,ROUND(IF(AND(OR($H52="Umowa o pracę",$H52="Umowa zlecenie"),$K52="Tak"),0,IF(AND($H52="Umowa zlecenie",$L52="Tak"),0,IF($H52="B2B",IF($O52="Liniowy",MAX(0,(Z52-MIN(X52,'Założenia 2026'!$B$8))*'Założenia 2026'!$B$7),IF($O52="Ryczałt",Z52*$P52,MAX(0,Z52*'Założenia 2026'!$B$4-'Założenia 2026'!$B$6/12))),MAX(0,Z52*'Założenia 2026'!$B$4-IF($I52="Tak",300,0))))),0)))</f>
        <v>177</v>
      </c>
      <c r="AB52" s="35">
        <f t="shared" si="3"/>
        <v>4345.1899999999996</v>
      </c>
      <c r="AC52" s="35">
        <f>IF($G52="","",ROUND(IF($H52="B2B",R52,IF(OR($H52="Umowa o pracę",AND($H52="Umowa zlecenie",$L52&lt;&gt;"Tak")),R52+R52*('Założenia 2026'!$B$13+'Założenia 2026'!$B$14+'Założenia 2026'!$B$15+'Założenia 2026'!$B$16+'Założenia 2026'!$B$17),R52)),2))</f>
        <v>6746.88</v>
      </c>
      <c r="AD52" s="34">
        <f t="shared" si="4"/>
        <v>0.35597046338455707</v>
      </c>
    </row>
  </sheetData>
  <mergeCells count="3">
    <mergeCell ref="A1:E1"/>
    <mergeCell ref="F1:Q1"/>
    <mergeCell ref="R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Kalkulator</vt:lpstr>
      <vt:lpstr>Założenia 2026</vt:lpstr>
      <vt:lpstr>Obliczenia</vt:lpstr>
      <vt:lpstr>Źródła</vt:lpstr>
      <vt:lpstr>PRACOWNICY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Godziszewski</dc:creator>
  <cp:lastModifiedBy>Sebastian Godziszewski</cp:lastModifiedBy>
  <dcterms:created xsi:type="dcterms:W3CDTF">2026-08-26T08:32:43Z</dcterms:created>
  <dcterms:modified xsi:type="dcterms:W3CDTF">2026-08-26T09:37:24Z</dcterms:modified>
</cp:coreProperties>
</file>